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0051\"/>
    </mc:Choice>
  </mc:AlternateContent>
  <bookViews>
    <workbookView xWindow="0" yWindow="0" windowWidth="15480" windowHeight="9120"/>
  </bookViews>
  <sheets>
    <sheet name="ЄІБ" sheetId="7" r:id="rId1"/>
    <sheet name="Грн." sheetId="5" state="hidden" r:id="rId2"/>
    <sheet name="Курс" sheetId="3" state="hidden" r:id="rId3"/>
  </sheets>
  <definedNames>
    <definedName name="_xlnm.Print_Area" localSheetId="0">ЄІБ!$A$1:$Z$57</definedName>
  </definedNames>
  <calcPr calcId="162913"/>
</workbook>
</file>

<file path=xl/calcChain.xml><?xml version="1.0" encoding="utf-8"?>
<calcChain xmlns="http://schemas.openxmlformats.org/spreadsheetml/2006/main">
  <c r="I10" i="7" l="1"/>
  <c r="J10" i="7" s="1"/>
  <c r="J22" i="7" s="1"/>
  <c r="E10" i="7"/>
  <c r="F10" i="7" s="1"/>
  <c r="E22" i="7"/>
  <c r="D22" i="7"/>
  <c r="C22" i="7"/>
  <c r="H10" i="7"/>
  <c r="H22" i="7" s="1"/>
  <c r="G10" i="7"/>
  <c r="G22" i="7" s="1"/>
  <c r="B23" i="7"/>
  <c r="B25" i="7" s="1"/>
  <c r="I36" i="7"/>
  <c r="L22" i="7"/>
  <c r="M22" i="7" s="1"/>
  <c r="N22" i="7" s="1"/>
  <c r="O22" i="7" s="1"/>
  <c r="P22" i="7" s="1"/>
  <c r="Q22" i="7" s="1"/>
  <c r="R22" i="7" s="1"/>
  <c r="S22" i="7" s="1"/>
  <c r="T22" i="7" s="1"/>
  <c r="K56" i="5"/>
  <c r="J56" i="5"/>
  <c r="I56" i="5"/>
  <c r="H56" i="5"/>
  <c r="G56" i="5"/>
  <c r="F56" i="5"/>
  <c r="E56" i="5"/>
  <c r="D56" i="5"/>
  <c r="C56" i="5"/>
  <c r="K53" i="5"/>
  <c r="J53" i="5"/>
  <c r="I53" i="5"/>
  <c r="H53" i="5"/>
  <c r="G53" i="5"/>
  <c r="F53" i="5"/>
  <c r="E53" i="5"/>
  <c r="D53" i="5"/>
  <c r="C53" i="5"/>
  <c r="Y46" i="5"/>
  <c r="B5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D46" i="5"/>
  <c r="C46" i="5"/>
  <c r="Y43" i="5"/>
  <c r="B5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J43" i="5"/>
  <c r="I43" i="5"/>
  <c r="H43" i="5"/>
  <c r="G43" i="5"/>
  <c r="F43" i="5"/>
  <c r="E43" i="5"/>
  <c r="D43" i="5"/>
  <c r="C43" i="5"/>
  <c r="Y36" i="5"/>
  <c r="B4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C36" i="5"/>
  <c r="B36" i="5"/>
  <c r="L23" i="5"/>
  <c r="M23" i="5" s="1"/>
  <c r="N23" i="5" s="1"/>
  <c r="O23" i="5" s="1"/>
  <c r="P23" i="5" s="1"/>
  <c r="Q23" i="5" s="1"/>
  <c r="R23" i="5" s="1"/>
  <c r="S23" i="5" s="1"/>
  <c r="T23" i="5" s="1"/>
  <c r="I70" i="5"/>
  <c r="G70" i="5"/>
  <c r="H70" i="5" s="1"/>
  <c r="E70" i="5"/>
  <c r="F70" i="5" s="1"/>
  <c r="C70" i="5"/>
  <c r="D70" i="5" s="1"/>
  <c r="B70" i="5"/>
  <c r="J11" i="3"/>
  <c r="K11" i="3"/>
  <c r="K12" i="3" s="1"/>
  <c r="L11" i="3"/>
  <c r="M11" i="3"/>
  <c r="N11" i="3"/>
  <c r="N12" i="3" s="1"/>
  <c r="O11" i="3"/>
  <c r="O12" i="3" s="1"/>
  <c r="P11" i="3"/>
  <c r="I11" i="3"/>
  <c r="I12" i="3" s="1"/>
  <c r="I10" i="3"/>
  <c r="Q10" i="3" s="1"/>
  <c r="J10" i="3"/>
  <c r="K10" i="3"/>
  <c r="L10" i="3"/>
  <c r="M10" i="3"/>
  <c r="N10" i="3"/>
  <c r="O10" i="3"/>
  <c r="P10" i="3"/>
  <c r="H5" i="3"/>
  <c r="H4" i="3"/>
  <c r="H3" i="3"/>
  <c r="Q9" i="3"/>
  <c r="J12" i="3"/>
  <c r="M12" i="3"/>
  <c r="P12" i="3"/>
  <c r="C23" i="5"/>
  <c r="D23" i="5" s="1"/>
  <c r="E23" i="5"/>
  <c r="F23" i="5" s="1"/>
  <c r="G23" i="5"/>
  <c r="H23" i="5" s="1"/>
  <c r="I23" i="5"/>
  <c r="B71" i="5"/>
  <c r="C71" i="5" s="1"/>
  <c r="K10" i="5"/>
  <c r="B23" i="5"/>
  <c r="B24" i="5" s="1"/>
  <c r="H6" i="3"/>
  <c r="B74" i="5"/>
  <c r="B72" i="5"/>
  <c r="B24" i="7"/>
  <c r="B27" i="7"/>
  <c r="C23" i="7"/>
  <c r="B27" i="5" l="1"/>
  <c r="B25" i="5"/>
  <c r="C24" i="5"/>
  <c r="U22" i="7"/>
  <c r="V22" i="7" s="1"/>
  <c r="W22" i="7" s="1"/>
  <c r="X22" i="7" s="1"/>
  <c r="B32" i="7"/>
  <c r="B33" i="5"/>
  <c r="C33" i="5" s="1"/>
  <c r="D33" i="5" s="1"/>
  <c r="E33" i="5" s="1"/>
  <c r="F33" i="5" s="1"/>
  <c r="G33" i="5" s="1"/>
  <c r="H33" i="5" s="1"/>
  <c r="I33" i="5" s="1"/>
  <c r="J33" i="5" s="1"/>
  <c r="K33" i="5" s="1"/>
  <c r="L33" i="5" s="1"/>
  <c r="M33" i="5" s="1"/>
  <c r="N33" i="5" s="1"/>
  <c r="O33" i="5" s="1"/>
  <c r="P33" i="5" s="1"/>
  <c r="Q33" i="5" s="1"/>
  <c r="R33" i="5" s="1"/>
  <c r="S33" i="5" s="1"/>
  <c r="T33" i="5" s="1"/>
  <c r="U33" i="5" s="1"/>
  <c r="V33" i="5" s="1"/>
  <c r="W33" i="5" s="1"/>
  <c r="X33" i="5" s="1"/>
  <c r="Y33" i="5" s="1"/>
  <c r="B43" i="5" s="1"/>
  <c r="U23" i="5"/>
  <c r="V23" i="5" s="1"/>
  <c r="W23" i="5" s="1"/>
  <c r="X23" i="5" s="1"/>
  <c r="C74" i="5"/>
  <c r="C72" i="5"/>
  <c r="D71" i="5"/>
  <c r="Q11" i="3"/>
  <c r="L12" i="3"/>
  <c r="D23" i="7"/>
  <c r="C24" i="7"/>
  <c r="C25" i="7"/>
  <c r="K10" i="7"/>
  <c r="F22" i="7"/>
  <c r="Y70" i="5"/>
  <c r="I22" i="7"/>
  <c r="C25" i="5" l="1"/>
  <c r="D24" i="5"/>
  <c r="C27" i="5"/>
  <c r="C32" i="7"/>
  <c r="D32" i="7" s="1"/>
  <c r="E32" i="7" s="1"/>
  <c r="F32" i="7" s="1"/>
  <c r="G32" i="7" s="1"/>
  <c r="H32" i="7" s="1"/>
  <c r="C27" i="7"/>
  <c r="E71" i="5"/>
  <c r="D72" i="5"/>
  <c r="D74" i="5"/>
  <c r="L53" i="5"/>
  <c r="E23" i="7"/>
  <c r="D25" i="7"/>
  <c r="D24" i="7"/>
  <c r="D27" i="7" s="1"/>
  <c r="E72" i="5" l="1"/>
  <c r="E74" i="5"/>
  <c r="F71" i="5"/>
  <c r="E24" i="7"/>
  <c r="E27" i="7" s="1"/>
  <c r="E25" i="7"/>
  <c r="F23" i="7"/>
  <c r="E24" i="5"/>
  <c r="D27" i="5"/>
  <c r="D25" i="5"/>
  <c r="I32" i="7"/>
  <c r="F24" i="5" l="1"/>
  <c r="E25" i="5"/>
  <c r="E27" i="5"/>
  <c r="G23" i="7"/>
  <c r="F24" i="7"/>
  <c r="F25" i="7"/>
  <c r="F72" i="5"/>
  <c r="G71" i="5"/>
  <c r="F74" i="5"/>
  <c r="H71" i="5" l="1"/>
  <c r="G74" i="5"/>
  <c r="G72" i="5"/>
  <c r="F27" i="7"/>
  <c r="G24" i="7"/>
  <c r="G25" i="7"/>
  <c r="H23" i="7"/>
  <c r="G24" i="5"/>
  <c r="F27" i="5"/>
  <c r="F25" i="5"/>
  <c r="H24" i="5" l="1"/>
  <c r="G27" i="5"/>
  <c r="G25" i="5"/>
  <c r="I23" i="7"/>
  <c r="H24" i="7"/>
  <c r="H25" i="7"/>
  <c r="I71" i="5"/>
  <c r="H74" i="5"/>
  <c r="H72" i="5"/>
  <c r="G27" i="7"/>
  <c r="I73" i="5" l="1"/>
  <c r="E73" i="5"/>
  <c r="E75" i="5" s="1"/>
  <c r="J69" i="5"/>
  <c r="D73" i="5"/>
  <c r="D75" i="5" s="1"/>
  <c r="F73" i="5"/>
  <c r="F75" i="5" s="1"/>
  <c r="I74" i="5"/>
  <c r="J71" i="5"/>
  <c r="C73" i="5"/>
  <c r="C75" i="5" s="1"/>
  <c r="B73" i="5"/>
  <c r="H73" i="5"/>
  <c r="H75" i="5" s="1"/>
  <c r="I72" i="5"/>
  <c r="J73" i="5"/>
  <c r="K73" i="5" s="1"/>
  <c r="L73" i="5" s="1"/>
  <c r="M73" i="5" s="1"/>
  <c r="N73" i="5" s="1"/>
  <c r="O73" i="5" s="1"/>
  <c r="P73" i="5" s="1"/>
  <c r="Q73" i="5" s="1"/>
  <c r="R73" i="5" s="1"/>
  <c r="S73" i="5" s="1"/>
  <c r="T73" i="5" s="1"/>
  <c r="U73" i="5" s="1"/>
  <c r="V73" i="5" s="1"/>
  <c r="W73" i="5" s="1"/>
  <c r="X73" i="5" s="1"/>
  <c r="G73" i="5"/>
  <c r="G75" i="5" s="1"/>
  <c r="H27" i="7"/>
  <c r="I25" i="7"/>
  <c r="I24" i="7"/>
  <c r="I27" i="7" s="1"/>
  <c r="J23" i="7"/>
  <c r="H27" i="5"/>
  <c r="I24" i="5"/>
  <c r="H25" i="5"/>
  <c r="L21" i="7" l="1"/>
  <c r="O21" i="7"/>
  <c r="R21" i="7"/>
  <c r="D31" i="7"/>
  <c r="S21" i="7"/>
  <c r="C31" i="7"/>
  <c r="X21" i="7"/>
  <c r="B31" i="7"/>
  <c r="J21" i="7"/>
  <c r="K23" i="7" s="1"/>
  <c r="N21" i="7"/>
  <c r="J25" i="7"/>
  <c r="U21" i="7"/>
  <c r="W21" i="7"/>
  <c r="M21" i="7"/>
  <c r="H31" i="7"/>
  <c r="Q21" i="7"/>
  <c r="K21" i="7"/>
  <c r="V21" i="7"/>
  <c r="G31" i="7"/>
  <c r="T21" i="7"/>
  <c r="P21" i="7"/>
  <c r="F31" i="7"/>
  <c r="E31" i="7"/>
  <c r="J24" i="7"/>
  <c r="Y73" i="5"/>
  <c r="B75" i="5"/>
  <c r="J72" i="5"/>
  <c r="J74" i="5"/>
  <c r="H26" i="5"/>
  <c r="H28" i="5" s="1"/>
  <c r="I26" i="5"/>
  <c r="D26" i="5"/>
  <c r="D28" i="5" s="1"/>
  <c r="I27" i="5"/>
  <c r="I25" i="5"/>
  <c r="I28" i="5" s="1"/>
  <c r="E26" i="5"/>
  <c r="E28" i="5" s="1"/>
  <c r="F26" i="5"/>
  <c r="F28" i="5" s="1"/>
  <c r="J26" i="5"/>
  <c r="B26" i="5"/>
  <c r="J24" i="5"/>
  <c r="V22" i="5"/>
  <c r="C26" i="5"/>
  <c r="C28" i="5" s="1"/>
  <c r="G26" i="5"/>
  <c r="G28" i="5" s="1"/>
  <c r="J75" i="5"/>
  <c r="K69" i="5"/>
  <c r="I75" i="5"/>
  <c r="L23" i="7" l="1"/>
  <c r="K25" i="7"/>
  <c r="K24" i="7"/>
  <c r="K27" i="7"/>
  <c r="L69" i="5"/>
  <c r="I31" i="7"/>
  <c r="K24" i="5"/>
  <c r="J27" i="5"/>
  <c r="J25" i="5"/>
  <c r="J28" i="5" s="1"/>
  <c r="J27" i="7"/>
  <c r="W22" i="5"/>
  <c r="K71" i="5"/>
  <c r="L56" i="5"/>
  <c r="B28" i="5"/>
  <c r="K74" i="5" l="1"/>
  <c r="K72" i="5"/>
  <c r="K75" i="5" s="1"/>
  <c r="L71" i="5"/>
  <c r="L24" i="5"/>
  <c r="K25" i="5"/>
  <c r="K27" i="5"/>
  <c r="M69" i="5"/>
  <c r="X22" i="5"/>
  <c r="L25" i="7"/>
  <c r="L24" i="7"/>
  <c r="L27" i="7" s="1"/>
  <c r="M23" i="7"/>
  <c r="B32" i="5" l="1"/>
  <c r="N69" i="5"/>
  <c r="L27" i="5"/>
  <c r="L25" i="5"/>
  <c r="L28" i="5" s="1"/>
  <c r="M24" i="5"/>
  <c r="K28" i="5"/>
  <c r="M25" i="7"/>
  <c r="M24" i="7"/>
  <c r="N23" i="7"/>
  <c r="L74" i="5"/>
  <c r="L72" i="5"/>
  <c r="M71" i="5"/>
  <c r="N25" i="7" l="1"/>
  <c r="O23" i="7"/>
  <c r="N24" i="7"/>
  <c r="N27" i="7" s="1"/>
  <c r="M27" i="7"/>
  <c r="M27" i="5"/>
  <c r="M25" i="5"/>
  <c r="M28" i="5" s="1"/>
  <c r="N24" i="5"/>
  <c r="O69" i="5"/>
  <c r="M72" i="5"/>
  <c r="M75" i="5" s="1"/>
  <c r="N71" i="5"/>
  <c r="M74" i="5"/>
  <c r="L75" i="5"/>
  <c r="C32" i="5"/>
  <c r="N72" i="5" l="1"/>
  <c r="N74" i="5"/>
  <c r="O71" i="5"/>
  <c r="P69" i="5"/>
  <c r="N25" i="5"/>
  <c r="N27" i="5"/>
  <c r="O24" i="5"/>
  <c r="D32" i="5"/>
  <c r="O24" i="7"/>
  <c r="O27" i="7" s="1"/>
  <c r="O25" i="7"/>
  <c r="P23" i="7"/>
  <c r="O25" i="5" l="1"/>
  <c r="O27" i="5"/>
  <c r="P24" i="5"/>
  <c r="Q69" i="5"/>
  <c r="E32" i="5"/>
  <c r="N28" i="5"/>
  <c r="P71" i="5"/>
  <c r="O74" i="5"/>
  <c r="O72" i="5"/>
  <c r="P25" i="7"/>
  <c r="P24" i="7"/>
  <c r="P27" i="7" s="1"/>
  <c r="Q23" i="7"/>
  <c r="N75" i="5"/>
  <c r="Q71" i="5" l="1"/>
  <c r="P74" i="5"/>
  <c r="P72" i="5"/>
  <c r="P75" i="5" s="1"/>
  <c r="F32" i="5"/>
  <c r="Q24" i="7"/>
  <c r="R23" i="7"/>
  <c r="Q25" i="7"/>
  <c r="R69" i="5"/>
  <c r="P27" i="5"/>
  <c r="Q24" i="5"/>
  <c r="P25" i="5"/>
  <c r="O75" i="5"/>
  <c r="O28" i="5"/>
  <c r="Q27" i="7" l="1"/>
  <c r="S69" i="5"/>
  <c r="G32" i="5"/>
  <c r="Q25" i="5"/>
  <c r="Q28" i="5" s="1"/>
  <c r="Q27" i="5"/>
  <c r="R24" i="5"/>
  <c r="R25" i="7"/>
  <c r="R24" i="7"/>
  <c r="R27" i="7" s="1"/>
  <c r="S23" i="7"/>
  <c r="P28" i="5"/>
  <c r="Q74" i="5"/>
  <c r="R71" i="5"/>
  <c r="Q72" i="5"/>
  <c r="Q75" i="5" s="1"/>
  <c r="R27" i="5" l="1"/>
  <c r="S24" i="5"/>
  <c r="R25" i="5"/>
  <c r="R28" i="5" s="1"/>
  <c r="R72" i="5"/>
  <c r="R75" i="5" s="1"/>
  <c r="R74" i="5"/>
  <c r="S71" i="5"/>
  <c r="H32" i="5"/>
  <c r="T69" i="5"/>
  <c r="S25" i="7"/>
  <c r="S24" i="7"/>
  <c r="S27" i="7" s="1"/>
  <c r="T23" i="7"/>
  <c r="S25" i="5" l="1"/>
  <c r="S27" i="5"/>
  <c r="T24" i="5"/>
  <c r="U69" i="5"/>
  <c r="I32" i="5"/>
  <c r="S72" i="5"/>
  <c r="S75" i="5" s="1"/>
  <c r="S74" i="5"/>
  <c r="T71" i="5"/>
  <c r="T25" i="7"/>
  <c r="U23" i="7"/>
  <c r="T24" i="7"/>
  <c r="T72" i="5" l="1"/>
  <c r="T74" i="5"/>
  <c r="U71" i="5"/>
  <c r="J32" i="5"/>
  <c r="T27" i="5"/>
  <c r="T25" i="5"/>
  <c r="T28" i="5" s="1"/>
  <c r="U24" i="5"/>
  <c r="U24" i="7"/>
  <c r="U27" i="7" s="1"/>
  <c r="V23" i="7"/>
  <c r="U25" i="7"/>
  <c r="V69" i="5"/>
  <c r="T27" i="7"/>
  <c r="S28" i="5"/>
  <c r="V24" i="5" l="1"/>
  <c r="U25" i="5"/>
  <c r="U27" i="5"/>
  <c r="V24" i="7"/>
  <c r="W23" i="7"/>
  <c r="V25" i="7"/>
  <c r="K32" i="5"/>
  <c r="U72" i="5"/>
  <c r="V71" i="5"/>
  <c r="U74" i="5"/>
  <c r="W69" i="5"/>
  <c r="T75" i="5"/>
  <c r="U75" i="5" l="1"/>
  <c r="W24" i="7"/>
  <c r="X23" i="7"/>
  <c r="W25" i="7"/>
  <c r="X69" i="5"/>
  <c r="W71" i="5"/>
  <c r="V72" i="5"/>
  <c r="V74" i="5"/>
  <c r="L32" i="5"/>
  <c r="V27" i="7"/>
  <c r="U28" i="5"/>
  <c r="V25" i="5"/>
  <c r="V27" i="5"/>
  <c r="W24" i="5"/>
  <c r="V75" i="5" l="1"/>
  <c r="W25" i="5"/>
  <c r="X24" i="5"/>
  <c r="W27" i="5"/>
  <c r="V28" i="5"/>
  <c r="M32" i="5"/>
  <c r="X71" i="5"/>
  <c r="W74" i="5"/>
  <c r="W72" i="5"/>
  <c r="W75" i="5" s="1"/>
  <c r="Y69" i="5"/>
  <c r="X25" i="7"/>
  <c r="B33" i="7"/>
  <c r="X24" i="7"/>
  <c r="X27" i="7" s="1"/>
  <c r="W27" i="7"/>
  <c r="X74" i="5" l="1"/>
  <c r="Y74" i="5" s="1"/>
  <c r="X72" i="5"/>
  <c r="N32" i="5"/>
  <c r="W28" i="5"/>
  <c r="B34" i="5"/>
  <c r="X27" i="5"/>
  <c r="X25" i="5"/>
  <c r="C33" i="7"/>
  <c r="B35" i="7"/>
  <c r="B34" i="7"/>
  <c r="X28" i="5" l="1"/>
  <c r="Y72" i="5"/>
  <c r="Y75" i="5" s="1"/>
  <c r="R77" i="5" s="1"/>
  <c r="X75" i="5"/>
  <c r="B37" i="7"/>
  <c r="D33" i="7"/>
  <c r="C35" i="7"/>
  <c r="C34" i="7"/>
  <c r="C37" i="7" s="1"/>
  <c r="C34" i="5"/>
  <c r="B37" i="5"/>
  <c r="B35" i="5"/>
  <c r="B38" i="5" s="1"/>
  <c r="O32" i="5"/>
  <c r="D34" i="5" l="1"/>
  <c r="C37" i="5"/>
  <c r="C35" i="5"/>
  <c r="D34" i="7"/>
  <c r="E33" i="7"/>
  <c r="D35" i="7"/>
  <c r="P32" i="5"/>
  <c r="E35" i="7" l="1"/>
  <c r="E34" i="7"/>
  <c r="E37" i="7" s="1"/>
  <c r="F33" i="7"/>
  <c r="C38" i="5"/>
  <c r="Q32" i="5"/>
  <c r="D37" i="7"/>
  <c r="E34" i="5"/>
  <c r="D35" i="5"/>
  <c r="D37" i="5"/>
  <c r="E37" i="5" l="1"/>
  <c r="F34" i="5"/>
  <c r="E35" i="5"/>
  <c r="R32" i="5"/>
  <c r="F34" i="7"/>
  <c r="G33" i="7"/>
  <c r="F35" i="7"/>
  <c r="D38" i="5"/>
  <c r="H33" i="7" l="1"/>
  <c r="G34" i="7"/>
  <c r="G35" i="7"/>
  <c r="F37" i="7"/>
  <c r="S32" i="5"/>
  <c r="E38" i="5"/>
  <c r="F35" i="5"/>
  <c r="F37" i="5"/>
  <c r="G34" i="5"/>
  <c r="H34" i="5" l="1"/>
  <c r="G35" i="5"/>
  <c r="G37" i="5"/>
  <c r="F38" i="5"/>
  <c r="T32" i="5"/>
  <c r="G37" i="7"/>
  <c r="H34" i="7"/>
  <c r="I33" i="7"/>
  <c r="H35" i="7"/>
  <c r="I35" i="7" s="1"/>
  <c r="H37" i="7" l="1"/>
  <c r="I37" i="7" s="1"/>
  <c r="N39" i="7" s="1"/>
  <c r="I34" i="7"/>
  <c r="U32" i="5"/>
  <c r="G38" i="5"/>
  <c r="I34" i="5"/>
  <c r="H37" i="5"/>
  <c r="H35" i="5"/>
  <c r="H38" i="5" s="1"/>
  <c r="I37" i="5" l="1"/>
  <c r="I35" i="5"/>
  <c r="I38" i="5" s="1"/>
  <c r="J34" i="5"/>
  <c r="V32" i="5"/>
  <c r="W32" i="5" l="1"/>
  <c r="J35" i="5"/>
  <c r="J37" i="5"/>
  <c r="K34" i="5"/>
  <c r="L34" i="5" l="1"/>
  <c r="K35" i="5"/>
  <c r="K37" i="5"/>
  <c r="J38" i="5"/>
  <c r="X32" i="5"/>
  <c r="Y32" i="5" l="1"/>
  <c r="K38" i="5"/>
  <c r="L37" i="5"/>
  <c r="M34" i="5"/>
  <c r="L35" i="5"/>
  <c r="L38" i="5" s="1"/>
  <c r="M37" i="5" l="1"/>
  <c r="N34" i="5"/>
  <c r="M35" i="5"/>
  <c r="M38" i="5" s="1"/>
  <c r="B42" i="5"/>
  <c r="C42" i="5" l="1"/>
  <c r="O34" i="5"/>
  <c r="N37" i="5"/>
  <c r="N35" i="5"/>
  <c r="N38" i="5" s="1"/>
  <c r="O35" i="5" l="1"/>
  <c r="P34" i="5"/>
  <c r="O37" i="5"/>
  <c r="D42" i="5"/>
  <c r="E42" i="5" l="1"/>
  <c r="P35" i="5"/>
  <c r="Q34" i="5"/>
  <c r="P37" i="5"/>
  <c r="O38" i="5"/>
  <c r="Q35" i="5" l="1"/>
  <c r="Q37" i="5"/>
  <c r="R34" i="5"/>
  <c r="P38" i="5"/>
  <c r="F42" i="5"/>
  <c r="G42" i="5" l="1"/>
  <c r="R35" i="5"/>
  <c r="S34" i="5"/>
  <c r="R37" i="5"/>
  <c r="Q38" i="5"/>
  <c r="S37" i="5" l="1"/>
  <c r="S35" i="5"/>
  <c r="S38" i="5" s="1"/>
  <c r="T34" i="5"/>
  <c r="R38" i="5"/>
  <c r="H42" i="5"/>
  <c r="I42" i="5" l="1"/>
  <c r="T37" i="5"/>
  <c r="U34" i="5"/>
  <c r="T35" i="5"/>
  <c r="T38" i="5" s="1"/>
  <c r="V34" i="5" l="1"/>
  <c r="U37" i="5"/>
  <c r="U35" i="5"/>
  <c r="U38" i="5" s="1"/>
  <c r="J42" i="5"/>
  <c r="K42" i="5" l="1"/>
  <c r="V35" i="5"/>
  <c r="V37" i="5"/>
  <c r="W34" i="5"/>
  <c r="X34" i="5" l="1"/>
  <c r="W35" i="5"/>
  <c r="W37" i="5"/>
  <c r="V38" i="5"/>
  <c r="L42" i="5"/>
  <c r="M42" i="5" l="1"/>
  <c r="W38" i="5"/>
  <c r="Y34" i="5"/>
  <c r="X37" i="5"/>
  <c r="X35" i="5"/>
  <c r="X38" i="5" s="1"/>
  <c r="Y37" i="5" l="1"/>
  <c r="Y35" i="5"/>
  <c r="B44" i="5"/>
  <c r="N42" i="5"/>
  <c r="O42" i="5" l="1"/>
  <c r="C44" i="5"/>
  <c r="B47" i="5"/>
  <c r="B45" i="5"/>
  <c r="B48" i="5" s="1"/>
  <c r="Y38" i="5"/>
  <c r="D44" i="5" l="1"/>
  <c r="C47" i="5"/>
  <c r="C45" i="5"/>
  <c r="P42" i="5"/>
  <c r="Q42" i="5" l="1"/>
  <c r="C48" i="5"/>
  <c r="E44" i="5"/>
  <c r="D45" i="5"/>
  <c r="D48" i="5" s="1"/>
  <c r="D47" i="5"/>
  <c r="E45" i="5" l="1"/>
  <c r="E47" i="5"/>
  <c r="F44" i="5"/>
  <c r="R42" i="5"/>
  <c r="S42" i="5" l="1"/>
  <c r="F45" i="5"/>
  <c r="F47" i="5"/>
  <c r="G44" i="5"/>
  <c r="E48" i="5"/>
  <c r="G47" i="5" l="1"/>
  <c r="H44" i="5"/>
  <c r="G45" i="5"/>
  <c r="G48" i="5" s="1"/>
  <c r="F48" i="5"/>
  <c r="T42" i="5"/>
  <c r="U42" i="5" l="1"/>
  <c r="H47" i="5"/>
  <c r="H45" i="5"/>
  <c r="I44" i="5"/>
  <c r="J44" i="5" l="1"/>
  <c r="I47" i="5"/>
  <c r="I45" i="5"/>
  <c r="I48" i="5" s="1"/>
  <c r="H48" i="5"/>
  <c r="V42" i="5"/>
  <c r="W42" i="5" l="1"/>
  <c r="J47" i="5"/>
  <c r="J45" i="5"/>
  <c r="J48" i="5" s="1"/>
  <c r="K44" i="5"/>
  <c r="K45" i="5" l="1"/>
  <c r="L44" i="5"/>
  <c r="K47" i="5"/>
  <c r="X42" i="5"/>
  <c r="Y42" i="5" l="1"/>
  <c r="M44" i="5"/>
  <c r="L47" i="5"/>
  <c r="L45" i="5"/>
  <c r="L48" i="5" s="1"/>
  <c r="K48" i="5"/>
  <c r="M45" i="5" l="1"/>
  <c r="M47" i="5"/>
  <c r="N44" i="5"/>
  <c r="B52" i="5"/>
  <c r="C52" i="5" l="1"/>
  <c r="N45" i="5"/>
  <c r="N48" i="5" s="1"/>
  <c r="N47" i="5"/>
  <c r="O44" i="5"/>
  <c r="M48" i="5"/>
  <c r="D52" i="5" l="1"/>
  <c r="P44" i="5"/>
  <c r="O45" i="5"/>
  <c r="O48" i="5" s="1"/>
  <c r="O47" i="5"/>
  <c r="P47" i="5" l="1"/>
  <c r="Q44" i="5"/>
  <c r="P45" i="5"/>
  <c r="P48" i="5" s="1"/>
  <c r="E52" i="5"/>
  <c r="F52" i="5" l="1"/>
  <c r="Q47" i="5"/>
  <c r="R44" i="5"/>
  <c r="Q45" i="5"/>
  <c r="Q48" i="5" s="1"/>
  <c r="R47" i="5" l="1"/>
  <c r="R45" i="5"/>
  <c r="R48" i="5" s="1"/>
  <c r="S44" i="5"/>
  <c r="G52" i="5"/>
  <c r="H52" i="5" l="1"/>
  <c r="S45" i="5"/>
  <c r="S47" i="5"/>
  <c r="T44" i="5"/>
  <c r="S48" i="5" l="1"/>
  <c r="T45" i="5"/>
  <c r="U44" i="5"/>
  <c r="T47" i="5"/>
  <c r="I52" i="5"/>
  <c r="J52" i="5" l="1"/>
  <c r="T48" i="5"/>
  <c r="U47" i="5"/>
  <c r="V44" i="5"/>
  <c r="U45" i="5"/>
  <c r="U48" i="5" s="1"/>
  <c r="V47" i="5" l="1"/>
  <c r="V45" i="5"/>
  <c r="V48" i="5" s="1"/>
  <c r="W44" i="5"/>
  <c r="K52" i="5"/>
  <c r="W47" i="5" l="1"/>
  <c r="W45" i="5"/>
  <c r="W48" i="5" s="1"/>
  <c r="X44" i="5"/>
  <c r="L52" i="5"/>
  <c r="Y44" i="5" l="1"/>
  <c r="X45" i="5"/>
  <c r="X47" i="5"/>
  <c r="X48" i="5" l="1"/>
  <c r="B54" i="5"/>
  <c r="Y45" i="5"/>
  <c r="Y47" i="5"/>
  <c r="Y48" i="5" l="1"/>
  <c r="C54" i="5"/>
  <c r="B57" i="5"/>
  <c r="B55" i="5"/>
  <c r="B58" i="5" s="1"/>
  <c r="C57" i="5" l="1"/>
  <c r="D54" i="5"/>
  <c r="C55" i="5"/>
  <c r="C58" i="5" s="1"/>
  <c r="D55" i="5" l="1"/>
  <c r="D57" i="5"/>
  <c r="E54" i="5"/>
  <c r="F54" i="5" l="1"/>
  <c r="E55" i="5"/>
  <c r="E57" i="5"/>
  <c r="D58" i="5"/>
  <c r="E58" i="5" l="1"/>
  <c r="F55" i="5"/>
  <c r="F57" i="5"/>
  <c r="G54" i="5"/>
  <c r="G55" i="5" l="1"/>
  <c r="G57" i="5"/>
  <c r="H54" i="5"/>
  <c r="F58" i="5"/>
  <c r="I54" i="5" l="1"/>
  <c r="H57" i="5"/>
  <c r="H55" i="5"/>
  <c r="G58" i="5"/>
  <c r="H58" i="5" l="1"/>
  <c r="J54" i="5"/>
  <c r="I57" i="5"/>
  <c r="I55" i="5"/>
  <c r="I58" i="5" s="1"/>
  <c r="J55" i="5" l="1"/>
  <c r="K54" i="5"/>
  <c r="J57" i="5"/>
  <c r="K55" i="5" l="1"/>
  <c r="K57" i="5"/>
  <c r="L57" i="5" s="1"/>
  <c r="J58" i="5"/>
  <c r="K58" i="5" l="1"/>
  <c r="L55" i="5"/>
  <c r="L58" i="5" s="1"/>
  <c r="R58" i="5" s="1"/>
  <c r="R78" i="5" s="1"/>
</calcChain>
</file>

<file path=xl/sharedStrings.xml><?xml version="1.0" encoding="utf-8"?>
<sst xmlns="http://schemas.openxmlformats.org/spreadsheetml/2006/main" count="305" uniqueCount="86">
  <si>
    <t>ВСЬОГО</t>
  </si>
  <si>
    <t>Періоди сплати</t>
  </si>
  <si>
    <t>Уряд ФРН</t>
  </si>
  <si>
    <t>KfW</t>
  </si>
  <si>
    <t>Термін надання кредиту – 40 років, у т.ч. пільговий період – 10 років</t>
  </si>
  <si>
    <t>Ставка одноразової комісії (за відкриття кредитної лінії) – 1,00%</t>
  </si>
  <si>
    <t xml:space="preserve">Ставка відсотків за кредитом – 0,75% річних </t>
  </si>
  <si>
    <t>Початок надання коштів кредиту – 2010 рік</t>
  </si>
  <si>
    <t>2010 р.</t>
  </si>
  <si>
    <t>2011 р.</t>
  </si>
  <si>
    <t>2012 р.</t>
  </si>
  <si>
    <t>2013 р.</t>
  </si>
  <si>
    <t>2014 р.</t>
  </si>
  <si>
    <t>2015 р.</t>
  </si>
  <si>
    <t>2016 р.</t>
  </si>
  <si>
    <t>2017 р.</t>
  </si>
  <si>
    <t>2018 р.</t>
  </si>
  <si>
    <t>2019 р.</t>
  </si>
  <si>
    <t>2020 р.</t>
  </si>
  <si>
    <t>Погашення, млн. євро</t>
  </si>
  <si>
    <t>Використання кредиту, млн. євро</t>
  </si>
  <si>
    <t>Основна сума заборгованості, млн. євро</t>
  </si>
  <si>
    <t>Відсотки за кредитом, млн. євро</t>
  </si>
  <si>
    <t>2021 р.</t>
  </si>
  <si>
    <t>2022 р.</t>
  </si>
  <si>
    <t>2023 р.</t>
  </si>
  <si>
    <t>2024 р.</t>
  </si>
  <si>
    <t>2025 р.</t>
  </si>
  <si>
    <t>2026 р.</t>
  </si>
  <si>
    <t>2027 р.</t>
  </si>
  <si>
    <t>2028 р.</t>
  </si>
  <si>
    <t>2029 р.</t>
  </si>
  <si>
    <t>2030 р.</t>
  </si>
  <si>
    <t>Відсотки МФУ, млн. євро</t>
  </si>
  <si>
    <t>2031 р.</t>
  </si>
  <si>
    <t>2032 р.</t>
  </si>
  <si>
    <t>2033 р.</t>
  </si>
  <si>
    <t>2034 р.</t>
  </si>
  <si>
    <t>2035 р.</t>
  </si>
  <si>
    <t>2036 р.</t>
  </si>
  <si>
    <t>2037 р.</t>
  </si>
  <si>
    <t>2038 р.</t>
  </si>
  <si>
    <t>2039 р.</t>
  </si>
  <si>
    <t>2040 р.</t>
  </si>
  <si>
    <t>2041 р.</t>
  </si>
  <si>
    <t>2042 р.</t>
  </si>
  <si>
    <t>2043 р.</t>
  </si>
  <si>
    <t>2044 р.</t>
  </si>
  <si>
    <t>2045 р.</t>
  </si>
  <si>
    <t>2046 р.</t>
  </si>
  <si>
    <t>2047 р.</t>
  </si>
  <si>
    <t>2049 р.</t>
  </si>
  <si>
    <t>Всього зобов'язань</t>
  </si>
  <si>
    <t>РАЗОМ</t>
  </si>
  <si>
    <t xml:space="preserve">Ставка відсотків за кредитом – 5,49% річних </t>
  </si>
  <si>
    <t>1 півр.</t>
  </si>
  <si>
    <t>2 півр.</t>
  </si>
  <si>
    <t>Використання коштів кредиту, млн. євро</t>
  </si>
  <si>
    <t>Роки</t>
  </si>
  <si>
    <t>Ставка комісійних відсотків за резервування коштів – 0,25% річних</t>
  </si>
  <si>
    <t>Ставка відсотків за надання кредиту Уряду України (Міністерство фінансів України) – 2,00 % річних</t>
  </si>
  <si>
    <t>2050 р.</t>
  </si>
  <si>
    <t>Термін надання кредиту – 11 років, у т.ч. пільговий період – 4 роки</t>
  </si>
  <si>
    <t>Офіційний курс НБУ на 22.12.2009 EUR/ UAH</t>
  </si>
  <si>
    <t>Використання коштів кредиту, млн. грн.</t>
  </si>
  <si>
    <t>Погашення, млн. грн.</t>
  </si>
  <si>
    <t>Використання кредиту, млн. грн.</t>
  </si>
  <si>
    <t>Основна сума заборгованості, млн. грн.</t>
  </si>
  <si>
    <t>Відсотки за кредитом, млн. грн.</t>
  </si>
  <si>
    <t>Комісійні відсотки, млн. грн.</t>
  </si>
  <si>
    <t>Відсотки МФУ, млн. грн.</t>
  </si>
  <si>
    <t>млн. грн.</t>
  </si>
  <si>
    <t>2048 р.</t>
  </si>
  <si>
    <t>Кредит за рахунок фінансової співпраці – 1 160 859 800 грн., з них: 400 496 631 грн. – бюджетні кошти Уряду ФРН; 760 363 169 грн. – кошти KfW</t>
  </si>
  <si>
    <t>Прогнозний графік обслуговування і погашення позики банківської групи KfW та уряду ФРН за Проектом «Підвищення ефективності передачі електроенергії (Модернізація підстанцій)» (12.01.2010)</t>
  </si>
  <si>
    <t>Всього</t>
  </si>
  <si>
    <t>млн. євро</t>
  </si>
  <si>
    <t>Одноразова комісія, млн. євро</t>
  </si>
  <si>
    <t>Термін надання кредиту – 15 років, у т.ч. пільговий період – 4 років</t>
  </si>
  <si>
    <t>Відсотки за кредитом(фіксовані), млн. євро</t>
  </si>
  <si>
    <t>ЄІБ</t>
  </si>
  <si>
    <t>Сума кредиту ЄІБ – 136,0 млн. євро.</t>
  </si>
  <si>
    <t xml:space="preserve">Ставка відсотків за кредитом (фіксована) – 1,29% річних </t>
  </si>
  <si>
    <t>Ставка відсотків за надання державних гарантій (Міністерство фінансів України) – 0,2 % річних</t>
  </si>
  <si>
    <t xml:space="preserve">Прогнозний графік обслуговування і погашення позики ЄІБ за проектом «Програма підвищення  надійності підстанцій» </t>
  </si>
  <si>
    <t>Одноразова комісія (за відкриття кредитної лінії) – 50000 євро (0,05 млн. євро)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</si>
</sst>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89" formatCode="_-* #,##0.00\ _г_р_н_._-;\-* #,##0.00\ _г_р_н_._-;_-* &quot;-&quot;??\ _г_р_н_._-;_-@_-"/>
    <numFmt numFmtId="191" formatCode="#,##0.000"/>
    <numFmt numFmtId="197" formatCode="0.000"/>
    <numFmt numFmtId="198" formatCode="0.0000"/>
    <numFmt numFmtId="205" formatCode="0.0000000000"/>
    <numFmt numFmtId="207" formatCode="_-* #,##0.000\ _г_р_н_._-;\-* #,##0.000\ _г_р_н_._-;_-* &quot;-&quot;??\ _г_р_н_._-;_-@_-"/>
    <numFmt numFmtId="209" formatCode="_-* #,##0.00000\ _г_р_н_._-;\-* #,##0.00000\ _г_р_н_._-;_-* &quot;-&quot;??\ _г_р_н_._-;_-@_-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b/>
      <sz val="12"/>
      <name val="Arial"/>
      <family val="2"/>
      <charset val="204"/>
    </font>
    <font>
      <b/>
      <sz val="12"/>
      <name val="Arial Cyr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0"/>
      <name val="Arial"/>
      <family val="2"/>
      <charset val="204"/>
    </font>
    <font>
      <b/>
      <u/>
      <sz val="16"/>
      <name val="Microsoft Sans Serif"/>
      <family val="2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1"/>
      <color indexed="8"/>
      <name val="Calibri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8"/>
      <name val="Calibri"/>
      <family val="2"/>
      <charset val="204"/>
    </font>
    <font>
      <b/>
      <sz val="9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89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 applyAlignment="1"/>
    <xf numFmtId="0" fontId="6" fillId="0" borderId="1" xfId="0" applyFont="1" applyBorder="1"/>
    <xf numFmtId="0" fontId="7" fillId="0" borderId="2" xfId="0" applyFont="1" applyBorder="1"/>
    <xf numFmtId="10" fontId="7" fillId="0" borderId="2" xfId="0" applyNumberFormat="1" applyFont="1" applyBorder="1" applyAlignment="1">
      <alignment horizontal="left"/>
    </xf>
    <xf numFmtId="0" fontId="7" fillId="0" borderId="3" xfId="0" applyFont="1" applyBorder="1"/>
    <xf numFmtId="0" fontId="10" fillId="0" borderId="0" xfId="0" applyFont="1"/>
    <xf numFmtId="0" fontId="6" fillId="0" borderId="4" xfId="0" applyFont="1" applyBorder="1" applyAlignment="1">
      <alignment horizontal="left" vertical="center"/>
    </xf>
    <xf numFmtId="0" fontId="11" fillId="0" borderId="5" xfId="0" applyFont="1" applyBorder="1"/>
    <xf numFmtId="0" fontId="11" fillId="0" borderId="6" xfId="0" applyFont="1" applyBorder="1"/>
    <xf numFmtId="197" fontId="9" fillId="0" borderId="7" xfId="0" applyNumberFormat="1" applyFont="1" applyBorder="1"/>
    <xf numFmtId="191" fontId="7" fillId="2" borderId="8" xfId="0" applyNumberFormat="1" applyFont="1" applyFill="1" applyBorder="1"/>
    <xf numFmtId="191" fontId="7" fillId="2" borderId="9" xfId="0" applyNumberFormat="1" applyFont="1" applyFill="1" applyBorder="1"/>
    <xf numFmtId="191" fontId="6" fillId="2" borderId="10" xfId="0" applyNumberFormat="1" applyFont="1" applyFill="1" applyBorder="1"/>
    <xf numFmtId="191" fontId="11" fillId="2" borderId="11" xfId="0" applyNumberFormat="1" applyFont="1" applyFill="1" applyBorder="1"/>
    <xf numFmtId="191" fontId="11" fillId="2" borderId="8" xfId="0" applyNumberFormat="1" applyFont="1" applyFill="1" applyBorder="1"/>
    <xf numFmtId="191" fontId="11" fillId="2" borderId="12" xfId="0" applyNumberFormat="1" applyFont="1" applyFill="1" applyBorder="1"/>
    <xf numFmtId="191" fontId="7" fillId="2" borderId="7" xfId="0" applyNumberFormat="1" applyFont="1" applyFill="1" applyBorder="1"/>
    <xf numFmtId="191" fontId="6" fillId="2" borderId="13" xfId="0" applyNumberFormat="1" applyFont="1" applyFill="1" applyBorder="1"/>
    <xf numFmtId="191" fontId="11" fillId="2" borderId="14" xfId="0" applyNumberFormat="1" applyFont="1" applyFill="1" applyBorder="1"/>
    <xf numFmtId="191" fontId="7" fillId="2" borderId="14" xfId="0" applyNumberFormat="1" applyFont="1" applyFill="1" applyBorder="1"/>
    <xf numFmtId="191" fontId="7" fillId="2" borderId="15" xfId="0" applyNumberFormat="1" applyFont="1" applyFill="1" applyBorder="1"/>
    <xf numFmtId="0" fontId="6" fillId="2" borderId="1" xfId="0" applyFont="1" applyFill="1" applyBorder="1" applyAlignment="1">
      <alignment horizontal="center"/>
    </xf>
    <xf numFmtId="0" fontId="11" fillId="2" borderId="6" xfId="0" applyFont="1" applyFill="1" applyBorder="1"/>
    <xf numFmtId="191" fontId="11" fillId="2" borderId="16" xfId="0" applyNumberFormat="1" applyFont="1" applyFill="1" applyBorder="1"/>
    <xf numFmtId="0" fontId="4" fillId="0" borderId="0" xfId="0" applyFont="1" applyBorder="1" applyAlignment="1">
      <alignment vertical="center" wrapText="1"/>
    </xf>
    <xf numFmtId="197" fontId="9" fillId="0" borderId="0" xfId="0" applyNumberFormat="1" applyFont="1" applyBorder="1"/>
    <xf numFmtId="197" fontId="9" fillId="0" borderId="7" xfId="0" applyNumberFormat="1" applyFont="1" applyBorder="1" applyAlignment="1">
      <alignment vertical="center"/>
    </xf>
    <xf numFmtId="0" fontId="6" fillId="0" borderId="0" xfId="0" applyFont="1" applyBorder="1"/>
    <xf numFmtId="191" fontId="11" fillId="2" borderId="7" xfId="0" applyNumberFormat="1" applyFont="1" applyFill="1" applyBorder="1"/>
    <xf numFmtId="191" fontId="6" fillId="2" borderId="1" xfId="0" applyNumberFormat="1" applyFont="1" applyFill="1" applyBorder="1"/>
    <xf numFmtId="191" fontId="7" fillId="2" borderId="17" xfId="0" applyNumberFormat="1" applyFont="1" applyFill="1" applyBorder="1"/>
    <xf numFmtId="191" fontId="13" fillId="0" borderId="5" xfId="0" applyNumberFormat="1" applyFont="1" applyBorder="1"/>
    <xf numFmtId="191" fontId="13" fillId="0" borderId="2" xfId="0" applyNumberFormat="1" applyFont="1" applyBorder="1"/>
    <xf numFmtId="0" fontId="13" fillId="0" borderId="2" xfId="0" applyFont="1" applyBorder="1"/>
    <xf numFmtId="191" fontId="13" fillId="0" borderId="18" xfId="0" applyNumberFormat="1" applyFont="1" applyBorder="1"/>
    <xf numFmtId="191" fontId="13" fillId="0" borderId="1" xfId="0" applyNumberFormat="1" applyFont="1" applyBorder="1"/>
    <xf numFmtId="191" fontId="7" fillId="2" borderId="19" xfId="0" applyNumberFormat="1" applyFont="1" applyFill="1" applyBorder="1"/>
    <xf numFmtId="191" fontId="11" fillId="2" borderId="20" xfId="0" applyNumberFormat="1" applyFont="1" applyFill="1" applyBorder="1"/>
    <xf numFmtId="189" fontId="15" fillId="0" borderId="0" xfId="1" applyFont="1"/>
    <xf numFmtId="189" fontId="0" fillId="0" borderId="0" xfId="0" applyNumberFormat="1"/>
    <xf numFmtId="205" fontId="0" fillId="0" borderId="0" xfId="0" applyNumberFormat="1"/>
    <xf numFmtId="207" fontId="0" fillId="0" borderId="0" xfId="0" applyNumberFormat="1"/>
    <xf numFmtId="0" fontId="0" fillId="0" borderId="0" xfId="0" applyAlignment="1"/>
    <xf numFmtId="191" fontId="6" fillId="0" borderId="5" xfId="0" applyNumberFormat="1" applyFont="1" applyBorder="1" applyAlignment="1"/>
    <xf numFmtId="197" fontId="6" fillId="0" borderId="2" xfId="0" applyNumberFormat="1" applyFont="1" applyBorder="1" applyAlignment="1"/>
    <xf numFmtId="0" fontId="6" fillId="0" borderId="2" xfId="0" applyFont="1" applyBorder="1" applyAlignment="1"/>
    <xf numFmtId="197" fontId="6" fillId="0" borderId="21" xfId="0" applyNumberFormat="1" applyFont="1" applyBorder="1" applyAlignment="1"/>
    <xf numFmtId="197" fontId="6" fillId="0" borderId="1" xfId="0" applyNumberFormat="1" applyFont="1" applyBorder="1" applyAlignment="1"/>
    <xf numFmtId="191" fontId="11" fillId="3" borderId="11" xfId="0" applyNumberFormat="1" applyFont="1" applyFill="1" applyBorder="1"/>
    <xf numFmtId="191" fontId="11" fillId="4" borderId="11" xfId="0" applyNumberFormat="1" applyFont="1" applyFill="1" applyBorder="1"/>
    <xf numFmtId="0" fontId="6" fillId="2" borderId="22" xfId="0" applyFont="1" applyFill="1" applyBorder="1" applyAlignment="1">
      <alignment horizontal="center"/>
    </xf>
    <xf numFmtId="191" fontId="11" fillId="3" borderId="23" xfId="0" applyNumberFormat="1" applyFont="1" applyFill="1" applyBorder="1"/>
    <xf numFmtId="191" fontId="11" fillId="3" borderId="24" xfId="0" applyNumberFormat="1" applyFont="1" applyFill="1" applyBorder="1"/>
    <xf numFmtId="0" fontId="6" fillId="2" borderId="22" xfId="0" applyFont="1" applyFill="1" applyBorder="1" applyAlignment="1"/>
    <xf numFmtId="0" fontId="6" fillId="2" borderId="25" xfId="0" applyFont="1" applyFill="1" applyBorder="1" applyAlignment="1">
      <alignment horizontal="center"/>
    </xf>
    <xf numFmtId="0" fontId="6" fillId="2" borderId="25" xfId="0" applyFont="1" applyFill="1" applyBorder="1" applyAlignment="1"/>
    <xf numFmtId="0" fontId="16" fillId="0" borderId="0" xfId="0" applyFont="1"/>
    <xf numFmtId="197" fontId="0" fillId="0" borderId="0" xfId="0" applyNumberFormat="1"/>
    <xf numFmtId="209" fontId="0" fillId="0" borderId="0" xfId="0" applyNumberFormat="1"/>
    <xf numFmtId="197" fontId="9" fillId="0" borderId="7" xfId="0" applyNumberFormat="1" applyFont="1" applyBorder="1" applyAlignment="1">
      <alignment horizontal="center"/>
    </xf>
    <xf numFmtId="191" fontId="11" fillId="5" borderId="11" xfId="0" applyNumberFormat="1" applyFont="1" applyFill="1" applyBorder="1"/>
    <xf numFmtId="191" fontId="11" fillId="2" borderId="26" xfId="0" applyNumberFormat="1" applyFont="1" applyFill="1" applyBorder="1"/>
    <xf numFmtId="191" fontId="7" fillId="2" borderId="0" xfId="0" applyNumberFormat="1" applyFont="1" applyFill="1" applyBorder="1"/>
    <xf numFmtId="191" fontId="19" fillId="0" borderId="7" xfId="0" applyNumberFormat="1" applyFont="1" applyBorder="1"/>
    <xf numFmtId="191" fontId="11" fillId="6" borderId="11" xfId="0" applyNumberFormat="1" applyFont="1" applyFill="1" applyBorder="1"/>
    <xf numFmtId="0" fontId="19" fillId="0" borderId="0" xfId="0" applyFont="1"/>
    <xf numFmtId="0" fontId="20" fillId="0" borderId="0" xfId="0" applyFont="1"/>
    <xf numFmtId="0" fontId="0" fillId="0" borderId="0" xfId="0" applyAlignment="1"/>
    <xf numFmtId="191" fontId="11" fillId="7" borderId="11" xfId="0" applyNumberFormat="1" applyFont="1" applyFill="1" applyBorder="1"/>
    <xf numFmtId="0" fontId="7" fillId="0" borderId="21" xfId="0" applyFont="1" applyBorder="1"/>
    <xf numFmtId="191" fontId="7" fillId="2" borderId="27" xfId="0" applyNumberFormat="1" applyFont="1" applyFill="1" applyBorder="1"/>
    <xf numFmtId="191" fontId="7" fillId="2" borderId="28" xfId="0" applyNumberFormat="1" applyFont="1" applyFill="1" applyBorder="1"/>
    <xf numFmtId="191" fontId="7" fillId="2" borderId="29" xfId="0" applyNumberFormat="1" applyFont="1" applyFill="1" applyBorder="1"/>
    <xf numFmtId="0" fontId="6" fillId="2" borderId="25" xfId="0" applyFont="1" applyFill="1" applyBorder="1" applyAlignment="1">
      <alignment vertical="center"/>
    </xf>
    <xf numFmtId="0" fontId="0" fillId="0" borderId="0" xfId="0" applyBorder="1"/>
    <xf numFmtId="191" fontId="11" fillId="2" borderId="30" xfId="0" applyNumberFormat="1" applyFont="1" applyFill="1" applyBorder="1"/>
    <xf numFmtId="191" fontId="11" fillId="8" borderId="6" xfId="0" applyNumberFormat="1" applyFont="1" applyFill="1" applyBorder="1"/>
    <xf numFmtId="191" fontId="11" fillId="8" borderId="3" xfId="0" applyNumberFormat="1" applyFont="1" applyFill="1" applyBorder="1"/>
    <xf numFmtId="191" fontId="18" fillId="8" borderId="1" xfId="0" applyNumberFormat="1" applyFont="1" applyFill="1" applyBorder="1"/>
    <xf numFmtId="0" fontId="21" fillId="0" borderId="0" xfId="0" applyFont="1"/>
    <xf numFmtId="0" fontId="0" fillId="0" borderId="0" xfId="0"/>
    <xf numFmtId="191" fontId="11" fillId="8" borderId="7" xfId="0" applyNumberFormat="1" applyFont="1" applyFill="1" applyBorder="1"/>
    <xf numFmtId="0" fontId="2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14" fillId="0" borderId="2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/>
    <xf numFmtId="0" fontId="0" fillId="0" borderId="0" xfId="0" applyAlignment="1"/>
    <xf numFmtId="0" fontId="22" fillId="0" borderId="0" xfId="0" applyFont="1" applyAlignment="1"/>
    <xf numFmtId="0" fontId="6" fillId="0" borderId="4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6" fillId="2" borderId="25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6" fillId="2" borderId="33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191" fontId="12" fillId="0" borderId="7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198" fontId="9" fillId="0" borderId="7" xfId="0" applyNumberFormat="1" applyFont="1" applyBorder="1" applyAlignment="1">
      <alignment horizontal="center" vertical="center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W57"/>
  <sheetViews>
    <sheetView tabSelected="1" workbookViewId="0">
      <selection activeCell="D22" sqref="D22"/>
    </sheetView>
  </sheetViews>
  <sheetFormatPr defaultRowHeight="15" x14ac:dyDescent="0.25"/>
  <cols>
    <col min="1" max="1" width="34.28515625" customWidth="1"/>
    <col min="2" max="2" width="6.85546875" bestFit="1" customWidth="1"/>
    <col min="3" max="4" width="7.42578125" bestFit="1" customWidth="1"/>
    <col min="5" max="5" width="9.5703125" bestFit="1" customWidth="1"/>
    <col min="6" max="6" width="7.140625" bestFit="1" customWidth="1"/>
    <col min="7" max="7" width="8.7109375" customWidth="1"/>
    <col min="8" max="8" width="7.42578125" customWidth="1"/>
    <col min="9" max="9" width="7.5703125" bestFit="1" customWidth="1"/>
    <col min="10" max="10" width="7.42578125" bestFit="1" customWidth="1"/>
    <col min="11" max="11" width="7.7109375" customWidth="1"/>
    <col min="12" max="12" width="7.5703125" bestFit="1" customWidth="1"/>
    <col min="13" max="13" width="7.42578125" bestFit="1" customWidth="1"/>
    <col min="14" max="14" width="7.28515625" customWidth="1"/>
    <col min="15" max="15" width="7.85546875" customWidth="1"/>
    <col min="16" max="16" width="8.28515625" customWidth="1"/>
    <col min="17" max="21" width="6.85546875" bestFit="1" customWidth="1"/>
    <col min="22" max="22" width="7.5703125" customWidth="1"/>
    <col min="23" max="23" width="7.42578125" bestFit="1" customWidth="1"/>
    <col min="24" max="24" width="7.7109375" customWidth="1"/>
    <col min="25" max="25" width="10.42578125" bestFit="1" customWidth="1"/>
  </cols>
  <sheetData>
    <row r="2" spans="1:49" ht="18" customHeight="1" x14ac:dyDescent="0.25">
      <c r="Y2" s="72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</row>
    <row r="3" spans="1:49" ht="37.5" customHeight="1" x14ac:dyDescent="0.25">
      <c r="A3" s="88" t="s">
        <v>84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</row>
    <row r="4" spans="1:49" ht="18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49" ht="15.75" x14ac:dyDescent="0.25">
      <c r="A5" s="3" t="s">
        <v>81</v>
      </c>
      <c r="B5" s="3"/>
      <c r="C5" s="3"/>
      <c r="D5" s="3"/>
      <c r="E5" s="3"/>
      <c r="F5" s="3"/>
      <c r="G5" s="3"/>
      <c r="H5" s="85"/>
      <c r="I5" s="85"/>
      <c r="J5" s="3"/>
      <c r="K5" s="3"/>
      <c r="L5" s="3"/>
      <c r="M5" s="3"/>
      <c r="N5" s="3"/>
      <c r="O5" s="4"/>
      <c r="P5" s="4"/>
      <c r="Q5" s="4"/>
      <c r="R5" s="4"/>
      <c r="S5" s="4"/>
      <c r="T5" s="4"/>
      <c r="U5" s="4"/>
    </row>
    <row r="6" spans="1:49" ht="15.75" x14ac:dyDescent="0.25">
      <c r="A6" s="3"/>
      <c r="B6" s="3"/>
      <c r="C6" s="3"/>
      <c r="D6" s="3"/>
      <c r="E6" s="3"/>
      <c r="F6" s="3"/>
      <c r="G6" s="3"/>
      <c r="H6" s="85"/>
      <c r="I6" s="85"/>
      <c r="J6" s="3"/>
      <c r="K6" s="3"/>
      <c r="L6" s="3"/>
      <c r="M6" s="3"/>
      <c r="N6" s="3"/>
      <c r="O6" s="4"/>
      <c r="P6" s="4"/>
      <c r="Q6" s="4"/>
      <c r="R6" s="4"/>
      <c r="S6" s="4"/>
      <c r="T6" s="4"/>
      <c r="U6" s="4"/>
    </row>
    <row r="7" spans="1:49" ht="15.75" x14ac:dyDescent="0.25">
      <c r="A7" s="85"/>
      <c r="B7" s="85"/>
      <c r="C7" s="85"/>
      <c r="D7" s="85"/>
      <c r="E7" s="85"/>
      <c r="F7" s="85"/>
      <c r="G7" s="85"/>
      <c r="H7" s="85"/>
      <c r="I7" s="85"/>
      <c r="J7" s="3"/>
      <c r="K7" s="3"/>
      <c r="L7" s="3"/>
      <c r="M7" s="3"/>
      <c r="N7" s="3"/>
      <c r="O7" s="4"/>
      <c r="P7" s="4"/>
      <c r="Q7" s="4"/>
      <c r="R7" s="4"/>
      <c r="S7" s="4"/>
      <c r="T7" s="4"/>
      <c r="U7" s="4"/>
    </row>
    <row r="8" spans="1:49" ht="15.75" x14ac:dyDescent="0.25">
      <c r="A8" s="89" t="s">
        <v>58</v>
      </c>
      <c r="B8" s="89"/>
      <c r="C8" s="90">
        <v>2019</v>
      </c>
      <c r="D8" s="91"/>
      <c r="E8" s="91">
        <v>2020</v>
      </c>
      <c r="F8" s="91"/>
      <c r="G8" s="92">
        <v>2021</v>
      </c>
      <c r="H8" s="93"/>
      <c r="I8" s="92">
        <v>2022</v>
      </c>
      <c r="J8" s="93"/>
      <c r="K8" s="94" t="s">
        <v>0</v>
      </c>
      <c r="M8" s="3"/>
      <c r="N8" s="86"/>
      <c r="O8" s="4"/>
      <c r="P8" s="4"/>
      <c r="Q8" s="4"/>
      <c r="R8" s="4"/>
      <c r="S8" s="4"/>
      <c r="T8" s="4"/>
      <c r="U8" s="4"/>
    </row>
    <row r="9" spans="1:49" ht="15.75" x14ac:dyDescent="0.25">
      <c r="A9" s="89"/>
      <c r="B9" s="89"/>
      <c r="C9" s="65" t="s">
        <v>55</v>
      </c>
      <c r="D9" s="65" t="s">
        <v>56</v>
      </c>
      <c r="E9" s="65" t="s">
        <v>55</v>
      </c>
      <c r="F9" s="65" t="s">
        <v>56</v>
      </c>
      <c r="G9" s="65" t="s">
        <v>55</v>
      </c>
      <c r="H9" s="65" t="s">
        <v>56</v>
      </c>
      <c r="I9" s="65" t="s">
        <v>55</v>
      </c>
      <c r="J9" s="65" t="s">
        <v>56</v>
      </c>
      <c r="K9" s="95"/>
      <c r="M9" s="3"/>
      <c r="N9" s="86"/>
      <c r="O9" s="4"/>
      <c r="P9" s="4"/>
      <c r="Q9" s="4"/>
      <c r="R9" s="4"/>
      <c r="S9" s="4"/>
      <c r="T9" s="4"/>
      <c r="U9" s="4"/>
    </row>
    <row r="10" spans="1:49" ht="31.5" customHeight="1" x14ac:dyDescent="0.25">
      <c r="A10" s="96" t="s">
        <v>57</v>
      </c>
      <c r="B10" s="96"/>
      <c r="C10" s="32">
        <v>3.6</v>
      </c>
      <c r="D10" s="32">
        <v>10</v>
      </c>
      <c r="E10" s="32">
        <f>29.6/2</f>
        <v>14.8</v>
      </c>
      <c r="F10" s="32">
        <f>E10</f>
        <v>14.8</v>
      </c>
      <c r="G10" s="32">
        <f>54.4/2</f>
        <v>27.2</v>
      </c>
      <c r="H10" s="32">
        <f>G10</f>
        <v>27.2</v>
      </c>
      <c r="I10" s="32">
        <f>38.4/2</f>
        <v>19.2</v>
      </c>
      <c r="J10" s="32">
        <f>I10</f>
        <v>19.2</v>
      </c>
      <c r="K10" s="32">
        <f>SUM(C10:J10)</f>
        <v>136</v>
      </c>
      <c r="M10" s="3"/>
      <c r="N10" s="86"/>
      <c r="O10" s="4"/>
      <c r="P10" s="4"/>
      <c r="Q10" s="4"/>
      <c r="R10" s="4"/>
      <c r="S10" s="4"/>
      <c r="T10" s="4"/>
      <c r="U10" s="4"/>
    </row>
    <row r="11" spans="1:49" ht="15.75" x14ac:dyDescent="0.25">
      <c r="A11" s="30"/>
      <c r="B11" s="31"/>
      <c r="C11" s="31"/>
      <c r="D11" s="31"/>
      <c r="E11" s="31"/>
      <c r="F11" s="3"/>
      <c r="G11" s="3"/>
      <c r="H11" s="3"/>
      <c r="I11" s="3"/>
      <c r="J11" s="3"/>
      <c r="K11" s="3"/>
      <c r="L11" s="3"/>
      <c r="M11" s="3"/>
      <c r="N11" s="3"/>
      <c r="O11" s="4"/>
      <c r="P11" s="4"/>
      <c r="Q11" s="4"/>
      <c r="R11" s="4"/>
      <c r="S11" s="4"/>
      <c r="T11" s="4"/>
      <c r="U11" s="4"/>
    </row>
    <row r="12" spans="1:49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  <c r="P12" s="4"/>
      <c r="Q12" s="4"/>
      <c r="R12" s="4"/>
      <c r="S12" s="4"/>
      <c r="T12" s="4"/>
      <c r="U12" s="4"/>
    </row>
    <row r="13" spans="1:49" ht="20.25" x14ac:dyDescent="0.3">
      <c r="A13" s="11" t="s">
        <v>80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  <c r="P13" s="4"/>
      <c r="Q13" s="4"/>
      <c r="R13" s="4"/>
      <c r="S13" s="4"/>
      <c r="T13" s="4"/>
      <c r="U13" s="4"/>
    </row>
    <row r="14" spans="1:49" ht="15.75" x14ac:dyDescent="0.25">
      <c r="A14" s="3" t="s">
        <v>78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4"/>
      <c r="P14" s="4"/>
      <c r="Q14" s="4"/>
      <c r="R14" s="4"/>
      <c r="S14" s="4"/>
      <c r="T14" s="4"/>
      <c r="U14" s="4"/>
    </row>
    <row r="15" spans="1:49" ht="15.75" x14ac:dyDescent="0.25">
      <c r="A15" s="97" t="s">
        <v>82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9"/>
      <c r="P15" s="99"/>
      <c r="Q15" s="99"/>
      <c r="R15" s="99"/>
      <c r="S15" s="99"/>
      <c r="T15" s="99"/>
      <c r="U15" s="99"/>
    </row>
    <row r="16" spans="1:49" ht="15.75" customHeight="1" x14ac:dyDescent="0.25">
      <c r="A16" s="97" t="s">
        <v>85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9"/>
      <c r="P16" s="99"/>
      <c r="Q16" s="99"/>
      <c r="R16" s="99"/>
      <c r="S16" s="99"/>
      <c r="T16" s="99"/>
      <c r="U16" s="99"/>
    </row>
    <row r="17" spans="1:24" ht="15.75" x14ac:dyDescent="0.25">
      <c r="A17" s="97" t="s">
        <v>83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100"/>
      <c r="P17" s="100"/>
      <c r="Q17" s="100"/>
      <c r="R17" s="100"/>
      <c r="S17" s="100"/>
      <c r="T17" s="100"/>
      <c r="U17" s="100"/>
    </row>
    <row r="18" spans="1:24" ht="16.5" thickBot="1" x14ac:dyDescent="0.3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73"/>
      <c r="P18" s="73"/>
      <c r="Q18" s="73"/>
      <c r="R18" s="73"/>
      <c r="S18" s="73"/>
      <c r="T18" s="73"/>
      <c r="U18" s="73"/>
    </row>
    <row r="19" spans="1:24" ht="15.75" customHeight="1" thickBot="1" x14ac:dyDescent="0.3">
      <c r="A19" s="101" t="s">
        <v>1</v>
      </c>
      <c r="B19" s="60">
        <v>2018</v>
      </c>
      <c r="C19" s="103">
        <v>2019</v>
      </c>
      <c r="D19" s="104"/>
      <c r="E19" s="103">
        <v>2020</v>
      </c>
      <c r="F19" s="104"/>
      <c r="G19" s="103">
        <v>2021</v>
      </c>
      <c r="H19" s="104"/>
      <c r="I19" s="103">
        <v>2022</v>
      </c>
      <c r="J19" s="104"/>
      <c r="K19" s="103">
        <v>2023</v>
      </c>
      <c r="L19" s="104"/>
      <c r="M19" s="103">
        <v>2024</v>
      </c>
      <c r="N19" s="104"/>
      <c r="O19" s="103">
        <v>2025</v>
      </c>
      <c r="P19" s="104"/>
      <c r="Q19" s="103">
        <v>2026</v>
      </c>
      <c r="R19" s="104"/>
      <c r="S19" s="103">
        <v>2027</v>
      </c>
      <c r="T19" s="104"/>
      <c r="U19" s="103">
        <v>2028</v>
      </c>
      <c r="V19" s="104"/>
      <c r="W19" s="103">
        <v>2029</v>
      </c>
      <c r="X19" s="104"/>
    </row>
    <row r="20" spans="1:24" ht="15.75" customHeight="1" thickBot="1" x14ac:dyDescent="0.3">
      <c r="A20" s="102"/>
      <c r="B20" s="27" t="s">
        <v>56</v>
      </c>
      <c r="C20" s="27" t="s">
        <v>55</v>
      </c>
      <c r="D20" s="27" t="s">
        <v>56</v>
      </c>
      <c r="E20" s="27" t="s">
        <v>55</v>
      </c>
      <c r="F20" s="27" t="s">
        <v>56</v>
      </c>
      <c r="G20" s="27" t="s">
        <v>55</v>
      </c>
      <c r="H20" s="27" t="s">
        <v>56</v>
      </c>
      <c r="I20" s="27" t="s">
        <v>55</v>
      </c>
      <c r="J20" s="27" t="s">
        <v>56</v>
      </c>
      <c r="K20" s="27" t="s">
        <v>55</v>
      </c>
      <c r="L20" s="27" t="s">
        <v>56</v>
      </c>
      <c r="M20" s="27" t="s">
        <v>55</v>
      </c>
      <c r="N20" s="27" t="s">
        <v>56</v>
      </c>
      <c r="O20" s="27" t="s">
        <v>55</v>
      </c>
      <c r="P20" s="27" t="s">
        <v>56</v>
      </c>
      <c r="Q20" s="27" t="s">
        <v>55</v>
      </c>
      <c r="R20" s="27" t="s">
        <v>56</v>
      </c>
      <c r="S20" s="27" t="s">
        <v>55</v>
      </c>
      <c r="T20" s="27" t="s">
        <v>56</v>
      </c>
      <c r="U20" s="27" t="s">
        <v>55</v>
      </c>
      <c r="V20" s="27" t="s">
        <v>56</v>
      </c>
      <c r="W20" s="27" t="s">
        <v>55</v>
      </c>
      <c r="X20" s="27" t="s">
        <v>56</v>
      </c>
    </row>
    <row r="21" spans="1:24" x14ac:dyDescent="0.25">
      <c r="A21" s="13" t="s">
        <v>19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74">
        <v>0</v>
      </c>
      <c r="J21" s="70">
        <f>$J$23/22</f>
        <v>6.1818181818181817</v>
      </c>
      <c r="K21" s="70">
        <f t="shared" ref="K21:X21" si="0">$J$23/22</f>
        <v>6.1818181818181817</v>
      </c>
      <c r="L21" s="70">
        <f t="shared" si="0"/>
        <v>6.1818181818181817</v>
      </c>
      <c r="M21" s="70">
        <f t="shared" si="0"/>
        <v>6.1818181818181817</v>
      </c>
      <c r="N21" s="70">
        <f t="shared" si="0"/>
        <v>6.1818181818181817</v>
      </c>
      <c r="O21" s="70">
        <f t="shared" si="0"/>
        <v>6.1818181818181817</v>
      </c>
      <c r="P21" s="70">
        <f t="shared" si="0"/>
        <v>6.1818181818181817</v>
      </c>
      <c r="Q21" s="70">
        <f t="shared" si="0"/>
        <v>6.1818181818181817</v>
      </c>
      <c r="R21" s="70">
        <f t="shared" si="0"/>
        <v>6.1818181818181817</v>
      </c>
      <c r="S21" s="70">
        <f t="shared" si="0"/>
        <v>6.1818181818181817</v>
      </c>
      <c r="T21" s="70">
        <f t="shared" si="0"/>
        <v>6.1818181818181817</v>
      </c>
      <c r="U21" s="70">
        <f t="shared" si="0"/>
        <v>6.1818181818181817</v>
      </c>
      <c r="V21" s="70">
        <f t="shared" si="0"/>
        <v>6.1818181818181817</v>
      </c>
      <c r="W21" s="70">
        <f t="shared" si="0"/>
        <v>6.1818181818181817</v>
      </c>
      <c r="X21" s="70">
        <f t="shared" si="0"/>
        <v>6.1818181818181817</v>
      </c>
    </row>
    <row r="22" spans="1:24" x14ac:dyDescent="0.25">
      <c r="A22" s="28" t="s">
        <v>20</v>
      </c>
      <c r="B22" s="19">
        <v>0</v>
      </c>
      <c r="C22" s="66">
        <f t="shared" ref="C22:J22" si="1">C10</f>
        <v>3.6</v>
      </c>
      <c r="D22" s="66">
        <f t="shared" si="1"/>
        <v>10</v>
      </c>
      <c r="E22" s="66">
        <f t="shared" si="1"/>
        <v>14.8</v>
      </c>
      <c r="F22" s="66">
        <f t="shared" si="1"/>
        <v>14.8</v>
      </c>
      <c r="G22" s="66">
        <f t="shared" si="1"/>
        <v>27.2</v>
      </c>
      <c r="H22" s="66">
        <f t="shared" si="1"/>
        <v>27.2</v>
      </c>
      <c r="I22" s="66">
        <f t="shared" si="1"/>
        <v>19.2</v>
      </c>
      <c r="J22" s="66">
        <f t="shared" si="1"/>
        <v>19.2</v>
      </c>
      <c r="K22" s="19">
        <v>0</v>
      </c>
      <c r="L22" s="19">
        <f t="shared" ref="L22:S22" si="2">K22</f>
        <v>0</v>
      </c>
      <c r="M22" s="19">
        <f t="shared" si="2"/>
        <v>0</v>
      </c>
      <c r="N22" s="19">
        <f t="shared" si="2"/>
        <v>0</v>
      </c>
      <c r="O22" s="19">
        <f t="shared" si="2"/>
        <v>0</v>
      </c>
      <c r="P22" s="19">
        <f t="shared" si="2"/>
        <v>0</v>
      </c>
      <c r="Q22" s="19">
        <f t="shared" si="2"/>
        <v>0</v>
      </c>
      <c r="R22" s="19">
        <f t="shared" si="2"/>
        <v>0</v>
      </c>
      <c r="S22" s="19">
        <f t="shared" si="2"/>
        <v>0</v>
      </c>
      <c r="T22" s="19">
        <f>S22</f>
        <v>0</v>
      </c>
      <c r="U22" s="19">
        <f>T22</f>
        <v>0</v>
      </c>
      <c r="V22" s="19">
        <f>U22</f>
        <v>0</v>
      </c>
      <c r="W22" s="19">
        <f>V22</f>
        <v>0</v>
      </c>
      <c r="X22" s="21">
        <f>W22</f>
        <v>0</v>
      </c>
    </row>
    <row r="23" spans="1:24" x14ac:dyDescent="0.25">
      <c r="A23" s="8" t="s">
        <v>21</v>
      </c>
      <c r="B23" s="20">
        <f>SUM(B22:B22)</f>
        <v>0</v>
      </c>
      <c r="C23" s="20">
        <f t="shared" ref="C23:H23" si="3">B23+C22</f>
        <v>3.6</v>
      </c>
      <c r="D23" s="20">
        <f t="shared" si="3"/>
        <v>13.6</v>
      </c>
      <c r="E23" s="20">
        <f t="shared" si="3"/>
        <v>28.4</v>
      </c>
      <c r="F23" s="20">
        <f t="shared" si="3"/>
        <v>43.2</v>
      </c>
      <c r="G23" s="20">
        <f t="shared" si="3"/>
        <v>70.400000000000006</v>
      </c>
      <c r="H23" s="20">
        <f t="shared" si="3"/>
        <v>97.600000000000009</v>
      </c>
      <c r="I23" s="20">
        <f>H23+I22</f>
        <v>116.80000000000001</v>
      </c>
      <c r="J23" s="20">
        <f>I23+J22</f>
        <v>136</v>
      </c>
      <c r="K23" s="20">
        <f>J23+K22-J21</f>
        <v>129.81818181818181</v>
      </c>
      <c r="L23" s="20">
        <f>K23-K21</f>
        <v>123.63636363636363</v>
      </c>
      <c r="M23" s="20">
        <f t="shared" ref="M23:X23" si="4">L23-L21</f>
        <v>117.45454545454544</v>
      </c>
      <c r="N23" s="20">
        <f t="shared" si="4"/>
        <v>111.27272727272725</v>
      </c>
      <c r="O23" s="20">
        <f t="shared" si="4"/>
        <v>105.09090909090907</v>
      </c>
      <c r="P23" s="20">
        <f t="shared" si="4"/>
        <v>98.909090909090878</v>
      </c>
      <c r="Q23" s="20">
        <f t="shared" si="4"/>
        <v>92.727272727272691</v>
      </c>
      <c r="R23" s="20">
        <f t="shared" si="4"/>
        <v>86.545454545454504</v>
      </c>
      <c r="S23" s="20">
        <f t="shared" si="4"/>
        <v>80.363636363636317</v>
      </c>
      <c r="T23" s="20">
        <f t="shared" si="4"/>
        <v>74.18181818181813</v>
      </c>
      <c r="U23" s="20">
        <f t="shared" si="4"/>
        <v>67.999999999999943</v>
      </c>
      <c r="V23" s="20">
        <f t="shared" si="4"/>
        <v>61.818181818181763</v>
      </c>
      <c r="W23" s="20">
        <f t="shared" si="4"/>
        <v>55.636363636363583</v>
      </c>
      <c r="X23" s="20">
        <f t="shared" si="4"/>
        <v>49.454545454545404</v>
      </c>
    </row>
    <row r="24" spans="1:24" x14ac:dyDescent="0.25">
      <c r="A24" s="8" t="s">
        <v>79</v>
      </c>
      <c r="B24" s="16">
        <f>B23*1.29%/2</f>
        <v>0</v>
      </c>
      <c r="C24" s="16">
        <f>C23*(1.29%/2)</f>
        <v>2.3220000000000001E-2</v>
      </c>
      <c r="D24" s="16">
        <f t="shared" ref="D24:X24" si="5">D23*(1.29%/2)</f>
        <v>8.7719999999999992E-2</v>
      </c>
      <c r="E24" s="16">
        <f t="shared" si="5"/>
        <v>0.18317999999999998</v>
      </c>
      <c r="F24" s="16">
        <f t="shared" si="5"/>
        <v>0.27864</v>
      </c>
      <c r="G24" s="16">
        <f>G23*(1.29%/2)</f>
        <v>0.45408000000000004</v>
      </c>
      <c r="H24" s="16">
        <f t="shared" si="5"/>
        <v>0.62952000000000008</v>
      </c>
      <c r="I24" s="16">
        <f t="shared" si="5"/>
        <v>0.75336000000000003</v>
      </c>
      <c r="J24" s="16">
        <f t="shared" si="5"/>
        <v>0.87719999999999998</v>
      </c>
      <c r="K24" s="16">
        <f t="shared" si="5"/>
        <v>0.8373272727272727</v>
      </c>
      <c r="L24" s="16">
        <f t="shared" si="5"/>
        <v>0.79745454545454542</v>
      </c>
      <c r="M24" s="16">
        <f t="shared" si="5"/>
        <v>0.75758181818181813</v>
      </c>
      <c r="N24" s="16">
        <f t="shared" si="5"/>
        <v>0.71770909090909074</v>
      </c>
      <c r="O24" s="16">
        <f t="shared" si="5"/>
        <v>0.67783636363636346</v>
      </c>
      <c r="P24" s="16">
        <f t="shared" si="5"/>
        <v>0.63796363636363618</v>
      </c>
      <c r="Q24" s="16">
        <f t="shared" si="5"/>
        <v>0.5980909090909089</v>
      </c>
      <c r="R24" s="16">
        <f t="shared" si="5"/>
        <v>0.5582181818181815</v>
      </c>
      <c r="S24" s="16">
        <f t="shared" si="5"/>
        <v>0.51834545454545422</v>
      </c>
      <c r="T24" s="16">
        <f t="shared" si="5"/>
        <v>0.47847272727272694</v>
      </c>
      <c r="U24" s="16">
        <f t="shared" si="5"/>
        <v>0.43859999999999966</v>
      </c>
      <c r="V24" s="16">
        <f t="shared" si="5"/>
        <v>0.39872727272727237</v>
      </c>
      <c r="W24" s="16">
        <f t="shared" si="5"/>
        <v>0.35885454545454509</v>
      </c>
      <c r="X24" s="16">
        <f t="shared" si="5"/>
        <v>0.31898181818181787</v>
      </c>
    </row>
    <row r="25" spans="1:24" x14ac:dyDescent="0.25">
      <c r="A25" s="10" t="s">
        <v>33</v>
      </c>
      <c r="B25" s="17">
        <f t="shared" ref="B25:X25" si="6">B23*0.2%/2</f>
        <v>0</v>
      </c>
      <c r="C25" s="17">
        <f t="shared" si="6"/>
        <v>3.6000000000000003E-3</v>
      </c>
      <c r="D25" s="17">
        <f t="shared" si="6"/>
        <v>1.3599999999999999E-2</v>
      </c>
      <c r="E25" s="17">
        <f t="shared" si="6"/>
        <v>2.8399999999999998E-2</v>
      </c>
      <c r="F25" s="17">
        <f t="shared" si="6"/>
        <v>4.3200000000000002E-2</v>
      </c>
      <c r="G25" s="17">
        <f t="shared" si="6"/>
        <v>7.0400000000000004E-2</v>
      </c>
      <c r="H25" s="17">
        <f t="shared" si="6"/>
        <v>9.7600000000000006E-2</v>
      </c>
      <c r="I25" s="17">
        <f t="shared" si="6"/>
        <v>0.11680000000000001</v>
      </c>
      <c r="J25" s="17">
        <f t="shared" si="6"/>
        <v>0.13600000000000001</v>
      </c>
      <c r="K25" s="17">
        <f t="shared" si="6"/>
        <v>0.1298181818181818</v>
      </c>
      <c r="L25" s="17">
        <f t="shared" si="6"/>
        <v>0.12363636363636363</v>
      </c>
      <c r="M25" s="17">
        <f t="shared" si="6"/>
        <v>0.11745454545454544</v>
      </c>
      <c r="N25" s="17">
        <f t="shared" si="6"/>
        <v>0.11127272727272726</v>
      </c>
      <c r="O25" s="17">
        <f t="shared" si="6"/>
        <v>0.10509090909090907</v>
      </c>
      <c r="P25" s="17">
        <f t="shared" si="6"/>
        <v>9.8909090909090877E-2</v>
      </c>
      <c r="Q25" s="17">
        <f t="shared" si="6"/>
        <v>9.27272727272727E-2</v>
      </c>
      <c r="R25" s="17">
        <f t="shared" si="6"/>
        <v>8.6545454545454509E-2</v>
      </c>
      <c r="S25" s="17">
        <f t="shared" si="6"/>
        <v>8.0363636363636318E-2</v>
      </c>
      <c r="T25" s="17">
        <f t="shared" si="6"/>
        <v>7.4181818181818127E-2</v>
      </c>
      <c r="U25" s="17">
        <f t="shared" si="6"/>
        <v>6.7999999999999949E-2</v>
      </c>
      <c r="V25" s="17">
        <f t="shared" si="6"/>
        <v>6.1818181818181765E-2</v>
      </c>
      <c r="W25" s="17">
        <f t="shared" si="6"/>
        <v>5.5636363636363588E-2</v>
      </c>
      <c r="X25" s="78">
        <f t="shared" si="6"/>
        <v>4.9454545454545404E-2</v>
      </c>
    </row>
    <row r="26" spans="1:24" ht="15.75" thickBot="1" x14ac:dyDescent="0.3">
      <c r="A26" s="75" t="s">
        <v>77</v>
      </c>
      <c r="B26" s="76">
        <v>0</v>
      </c>
      <c r="C26" s="76">
        <v>0.05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0</v>
      </c>
      <c r="X26" s="76">
        <v>0</v>
      </c>
    </row>
    <row r="27" spans="1:24" ht="15.75" thickBot="1" x14ac:dyDescent="0.3">
      <c r="A27" s="7" t="s">
        <v>0</v>
      </c>
      <c r="B27" s="18">
        <f>SUM(B21,B24,B25,B26)</f>
        <v>0</v>
      </c>
      <c r="C27" s="18">
        <f>SUM(C21,C24,C25,C26)</f>
        <v>7.6819999999999999E-2</v>
      </c>
      <c r="D27" s="18">
        <f t="shared" ref="D27:X27" si="7">SUM(D21,D24,D25)</f>
        <v>0.10131999999999999</v>
      </c>
      <c r="E27" s="18">
        <f>SUM(E21,E24,E25)</f>
        <v>0.21157999999999999</v>
      </c>
      <c r="F27" s="18">
        <f t="shared" si="7"/>
        <v>0.32184000000000001</v>
      </c>
      <c r="G27" s="18">
        <f t="shared" si="7"/>
        <v>0.52448000000000006</v>
      </c>
      <c r="H27" s="18">
        <f t="shared" si="7"/>
        <v>0.7271200000000001</v>
      </c>
      <c r="I27" s="18">
        <f t="shared" si="7"/>
        <v>0.87016000000000004</v>
      </c>
      <c r="J27" s="18">
        <f t="shared" si="7"/>
        <v>7.195018181818182</v>
      </c>
      <c r="K27" s="18">
        <f t="shared" si="7"/>
        <v>7.1489636363636366</v>
      </c>
      <c r="L27" s="18">
        <f t="shared" si="7"/>
        <v>7.1029090909090913</v>
      </c>
      <c r="M27" s="18">
        <f t="shared" si="7"/>
        <v>7.056854545454545</v>
      </c>
      <c r="N27" s="18">
        <f t="shared" si="7"/>
        <v>7.0107999999999997</v>
      </c>
      <c r="O27" s="18">
        <f t="shared" si="7"/>
        <v>6.9647454545454544</v>
      </c>
      <c r="P27" s="18">
        <f t="shared" si="7"/>
        <v>6.918690909090909</v>
      </c>
      <c r="Q27" s="18">
        <f t="shared" si="7"/>
        <v>6.8726363636363637</v>
      </c>
      <c r="R27" s="18">
        <f t="shared" si="7"/>
        <v>6.8265818181818183</v>
      </c>
      <c r="S27" s="18">
        <f t="shared" si="7"/>
        <v>6.7805272727272721</v>
      </c>
      <c r="T27" s="18">
        <f t="shared" si="7"/>
        <v>6.7344727272727276</v>
      </c>
      <c r="U27" s="18">
        <f t="shared" si="7"/>
        <v>6.6884181818181805</v>
      </c>
      <c r="V27" s="18">
        <f t="shared" si="7"/>
        <v>6.642363636363636</v>
      </c>
      <c r="W27" s="18">
        <f t="shared" si="7"/>
        <v>6.5963090909090898</v>
      </c>
      <c r="X27" s="18">
        <f t="shared" si="7"/>
        <v>6.5502545454545453</v>
      </c>
    </row>
    <row r="28" spans="1:24" ht="16.5" thickBot="1" x14ac:dyDescent="0.3">
      <c r="A28" s="110"/>
      <c r="B28" s="111"/>
      <c r="C28" s="111"/>
      <c r="D28" s="111"/>
      <c r="E28" s="111"/>
      <c r="F28" s="111"/>
      <c r="G28" s="111"/>
      <c r="H28" s="111"/>
      <c r="I28" s="111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4" ht="15.75" customHeight="1" thickBot="1" x14ac:dyDescent="0.3">
      <c r="A29" s="12" t="s">
        <v>1</v>
      </c>
      <c r="B29" s="103">
        <v>2030</v>
      </c>
      <c r="C29" s="113"/>
      <c r="D29" s="103">
        <v>2031</v>
      </c>
      <c r="E29" s="113"/>
      <c r="F29" s="103">
        <v>2032</v>
      </c>
      <c r="G29" s="113"/>
      <c r="H29" s="79">
        <v>2033</v>
      </c>
      <c r="I29" s="108" t="s">
        <v>75</v>
      </c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</row>
    <row r="30" spans="1:24" ht="15.75" customHeight="1" thickBot="1" x14ac:dyDescent="0.3">
      <c r="A30" s="12"/>
      <c r="B30" s="27" t="s">
        <v>55</v>
      </c>
      <c r="C30" s="27" t="s">
        <v>56</v>
      </c>
      <c r="D30" s="27" t="s">
        <v>55</v>
      </c>
      <c r="E30" s="27" t="s">
        <v>56</v>
      </c>
      <c r="F30" s="27" t="s">
        <v>55</v>
      </c>
      <c r="G30" s="27" t="s">
        <v>56</v>
      </c>
      <c r="H30" s="60" t="s">
        <v>55</v>
      </c>
      <c r="I30" s="109"/>
    </row>
    <row r="31" spans="1:24" x14ac:dyDescent="0.25">
      <c r="A31" s="13" t="s">
        <v>19</v>
      </c>
      <c r="B31" s="70">
        <f>$J$23/22</f>
        <v>6.1818181818181817</v>
      </c>
      <c r="C31" s="70">
        <f t="shared" ref="C31:H31" si="8">$J$23/22</f>
        <v>6.1818181818181817</v>
      </c>
      <c r="D31" s="70">
        <f t="shared" si="8"/>
        <v>6.1818181818181817</v>
      </c>
      <c r="E31" s="70">
        <f t="shared" si="8"/>
        <v>6.1818181818181817</v>
      </c>
      <c r="F31" s="70">
        <f t="shared" si="8"/>
        <v>6.1818181818181817</v>
      </c>
      <c r="G31" s="70">
        <f t="shared" si="8"/>
        <v>6.1818181818181817</v>
      </c>
      <c r="H31" s="70">
        <f t="shared" si="8"/>
        <v>6.1818181818181817</v>
      </c>
      <c r="I31" s="82">
        <f>SUM(B31:H31,B21:X21)</f>
        <v>136.00000000000003</v>
      </c>
    </row>
    <row r="32" spans="1:24" x14ac:dyDescent="0.25">
      <c r="A32" s="14" t="s">
        <v>20</v>
      </c>
      <c r="B32" s="19">
        <f>T22</f>
        <v>0</v>
      </c>
      <c r="C32" s="19">
        <f t="shared" ref="C32:H32" si="9">B32</f>
        <v>0</v>
      </c>
      <c r="D32" s="19">
        <f t="shared" si="9"/>
        <v>0</v>
      </c>
      <c r="E32" s="19">
        <f t="shared" si="9"/>
        <v>0</v>
      </c>
      <c r="F32" s="19">
        <f t="shared" si="9"/>
        <v>0</v>
      </c>
      <c r="G32" s="19">
        <f t="shared" si="9"/>
        <v>0</v>
      </c>
      <c r="H32" s="67">
        <f t="shared" si="9"/>
        <v>0</v>
      </c>
      <c r="I32" s="82">
        <f>SUM(B32:H32,B22:X22)</f>
        <v>136</v>
      </c>
    </row>
    <row r="33" spans="1:16" x14ac:dyDescent="0.25">
      <c r="A33" s="8" t="s">
        <v>21</v>
      </c>
      <c r="B33" s="20">
        <f>X23-X21</f>
        <v>43.272727272727224</v>
      </c>
      <c r="C33" s="20">
        <f t="shared" ref="C33:H33" si="10">B33-B31</f>
        <v>37.090909090909044</v>
      </c>
      <c r="D33" s="20">
        <f t="shared" si="10"/>
        <v>30.909090909090864</v>
      </c>
      <c r="E33" s="20">
        <f>D33-D31</f>
        <v>24.727272727272684</v>
      </c>
      <c r="F33" s="20">
        <f>E33-E31</f>
        <v>18.545454545454504</v>
      </c>
      <c r="G33" s="20">
        <f>F33-F31</f>
        <v>12.363636363636322</v>
      </c>
      <c r="H33" s="81">
        <f t="shared" si="10"/>
        <v>6.1818181818181408</v>
      </c>
      <c r="I33" s="87">
        <f>H33-H31</f>
        <v>-4.0856207306205761E-14</v>
      </c>
    </row>
    <row r="34" spans="1:16" x14ac:dyDescent="0.25">
      <c r="A34" s="8" t="s">
        <v>22</v>
      </c>
      <c r="B34" s="16">
        <f t="shared" ref="B34:H34" si="11">B33*(1.29%/2)</f>
        <v>0.27910909090909058</v>
      </c>
      <c r="C34" s="16">
        <f t="shared" si="11"/>
        <v>0.23923636363636333</v>
      </c>
      <c r="D34" s="16">
        <f t="shared" si="11"/>
        <v>0.19936363636363608</v>
      </c>
      <c r="E34" s="16">
        <f t="shared" si="11"/>
        <v>0.15949090909090882</v>
      </c>
      <c r="F34" s="16">
        <f t="shared" si="11"/>
        <v>0.11961818181818155</v>
      </c>
      <c r="G34" s="16">
        <f t="shared" si="11"/>
        <v>7.9745454545454286E-2</v>
      </c>
      <c r="H34" s="16">
        <f t="shared" si="11"/>
        <v>3.9872727272727011E-2</v>
      </c>
      <c r="I34" s="82">
        <f>SUM(B34:H34,B24:X24)</f>
        <v>12.497519999999996</v>
      </c>
    </row>
    <row r="35" spans="1:16" x14ac:dyDescent="0.25">
      <c r="A35" s="10" t="s">
        <v>33</v>
      </c>
      <c r="B35" s="17">
        <f t="shared" ref="B35:H35" si="12">B33*0.2%/2</f>
        <v>4.3272727272727227E-2</v>
      </c>
      <c r="C35" s="17">
        <f t="shared" si="12"/>
        <v>3.7090909090909042E-2</v>
      </c>
      <c r="D35" s="17">
        <f t="shared" si="12"/>
        <v>3.0909090909090865E-2</v>
      </c>
      <c r="E35" s="17">
        <f t="shared" si="12"/>
        <v>2.4727272727272685E-2</v>
      </c>
      <c r="F35" s="17">
        <f t="shared" si="12"/>
        <v>1.8545454545454504E-2</v>
      </c>
      <c r="G35" s="17">
        <f t="shared" si="12"/>
        <v>1.2363636363636323E-2</v>
      </c>
      <c r="H35" s="68">
        <f t="shared" si="12"/>
        <v>6.1818181818181408E-3</v>
      </c>
      <c r="I35" s="82">
        <f>SUM(B35:H35,B25:X25)</f>
        <v>1.9375999999999995</v>
      </c>
    </row>
    <row r="36" spans="1:16" ht="15.75" thickBot="1" x14ac:dyDescent="0.3">
      <c r="A36" s="75" t="s">
        <v>77</v>
      </c>
      <c r="B36" s="76">
        <v>0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77">
        <v>0</v>
      </c>
      <c r="I36" s="83">
        <f>SUM(B36:H36,B26:X26)</f>
        <v>0.05</v>
      </c>
    </row>
    <row r="37" spans="1:16" ht="15.75" thickBot="1" x14ac:dyDescent="0.3">
      <c r="A37" s="7" t="s">
        <v>0</v>
      </c>
      <c r="B37" s="18">
        <f>SUM(B31,B34,B35)</f>
        <v>6.5042</v>
      </c>
      <c r="C37" s="18">
        <f t="shared" ref="C37:H37" si="13">SUM(C31,C34,C35)</f>
        <v>6.4581454545454546</v>
      </c>
      <c r="D37" s="18">
        <f t="shared" si="13"/>
        <v>6.4120909090909093</v>
      </c>
      <c r="E37" s="18">
        <f t="shared" si="13"/>
        <v>6.366036363636363</v>
      </c>
      <c r="F37" s="18">
        <f t="shared" si="13"/>
        <v>6.3199818181818177</v>
      </c>
      <c r="G37" s="18">
        <f t="shared" si="13"/>
        <v>6.2739272727272724</v>
      </c>
      <c r="H37" s="18">
        <f t="shared" si="13"/>
        <v>6.227872727272727</v>
      </c>
      <c r="I37" s="84">
        <f>SUM(B37:H37,B27:X27)</f>
        <v>150.48511999999999</v>
      </c>
    </row>
    <row r="38" spans="1:16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</row>
    <row r="39" spans="1:16" ht="15.75" customHeight="1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105" t="s">
        <v>52</v>
      </c>
      <c r="L39" s="105"/>
      <c r="M39" s="105"/>
      <c r="N39" s="69">
        <f>I37</f>
        <v>150.48511999999999</v>
      </c>
      <c r="O39" s="106" t="s">
        <v>76</v>
      </c>
      <c r="P39" s="107"/>
    </row>
    <row r="40" spans="1:16" ht="15.75" customHeight="1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</row>
    <row r="41" spans="1:16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</row>
    <row r="42" spans="1:16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</row>
    <row r="43" spans="1:16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</row>
    <row r="44" spans="1:16" x14ac:dyDescent="0.25">
      <c r="G44" s="33"/>
      <c r="H44" s="33"/>
      <c r="I44" s="33"/>
      <c r="J44" s="33"/>
    </row>
    <row r="45" spans="1:16" x14ac:dyDescent="0.25">
      <c r="A45" s="33"/>
      <c r="H45" s="33"/>
      <c r="I45" s="33"/>
      <c r="J45" s="33"/>
    </row>
    <row r="46" spans="1:16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</row>
    <row r="57" spans="17:22" x14ac:dyDescent="0.25">
      <c r="Q57" s="33"/>
      <c r="R57" s="33"/>
      <c r="S57" s="33"/>
      <c r="T57" s="33"/>
      <c r="U57" s="33"/>
      <c r="V57" s="33"/>
    </row>
  </sheetData>
  <mergeCells count="30">
    <mergeCell ref="I29:I30"/>
    <mergeCell ref="W19:X19"/>
    <mergeCell ref="A28:U28"/>
    <mergeCell ref="B29:C29"/>
    <mergeCell ref="D29:E29"/>
    <mergeCell ref="F29:G29"/>
    <mergeCell ref="S19:T19"/>
    <mergeCell ref="U19:V19"/>
    <mergeCell ref="K39:M39"/>
    <mergeCell ref="O39:P39"/>
    <mergeCell ref="K19:L19"/>
    <mergeCell ref="M19:N19"/>
    <mergeCell ref="O19:P19"/>
    <mergeCell ref="Q19:R19"/>
    <mergeCell ref="A10:B10"/>
    <mergeCell ref="A16:U16"/>
    <mergeCell ref="A17:U17"/>
    <mergeCell ref="A19:A20"/>
    <mergeCell ref="C19:D19"/>
    <mergeCell ref="E19:F19"/>
    <mergeCell ref="G19:H19"/>
    <mergeCell ref="I19:J19"/>
    <mergeCell ref="A15:U15"/>
    <mergeCell ref="A3:Y3"/>
    <mergeCell ref="A8:B9"/>
    <mergeCell ref="C8:D8"/>
    <mergeCell ref="E8:F8"/>
    <mergeCell ref="G8:H8"/>
    <mergeCell ref="K8:K9"/>
    <mergeCell ref="I8:J8"/>
  </mergeCells>
  <printOptions horizontalCentered="1"/>
  <pageMargins left="0.15748031496062992" right="0.15748031496062992" top="0.31496062992125984" bottom="0.31496062992125984" header="0.31496062992125984" footer="0.31496062992125984"/>
  <pageSetup paperSize="9" scale="6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Y91"/>
  <sheetViews>
    <sheetView workbookViewId="0">
      <selection activeCell="O13" sqref="O13"/>
    </sheetView>
  </sheetViews>
  <sheetFormatPr defaultRowHeight="15" x14ac:dyDescent="0.25"/>
  <cols>
    <col min="1" max="1" width="29.42578125" customWidth="1"/>
    <col min="2" max="10" width="7.5703125" bestFit="1" customWidth="1"/>
    <col min="11" max="11" width="7.42578125" bestFit="1" customWidth="1"/>
    <col min="12" max="12" width="8" bestFit="1" customWidth="1"/>
    <col min="13" max="24" width="7.42578125" bestFit="1" customWidth="1"/>
  </cols>
  <sheetData>
    <row r="3" spans="1:25" ht="36" customHeight="1" x14ac:dyDescent="0.25">
      <c r="A3" s="88" t="s">
        <v>74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</row>
    <row r="4" spans="1:25" ht="18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ht="15.75" x14ac:dyDescent="0.25">
      <c r="A5" s="3" t="s">
        <v>73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  <c r="P5" s="4"/>
      <c r="Q5" s="4"/>
      <c r="R5" s="4"/>
      <c r="S5" s="4"/>
      <c r="T5" s="4"/>
      <c r="U5" s="4"/>
    </row>
    <row r="6" spans="1:25" ht="15.75" x14ac:dyDescent="0.25">
      <c r="A6" s="3" t="s">
        <v>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4"/>
      <c r="Q6" s="4"/>
      <c r="R6" s="4"/>
      <c r="S6" s="4"/>
      <c r="T6" s="4"/>
      <c r="U6" s="4"/>
    </row>
    <row r="7" spans="1:25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/>
      <c r="P7" s="4"/>
      <c r="Q7" s="4"/>
      <c r="R7" s="4"/>
      <c r="S7" s="4"/>
      <c r="T7" s="4"/>
      <c r="U7" s="4"/>
    </row>
    <row r="8" spans="1:25" ht="15.75" x14ac:dyDescent="0.25">
      <c r="A8" s="89" t="s">
        <v>58</v>
      </c>
      <c r="B8" s="89"/>
      <c r="C8" s="56" t="s">
        <v>8</v>
      </c>
      <c r="D8" s="90" t="s">
        <v>9</v>
      </c>
      <c r="E8" s="114" t="s">
        <v>10</v>
      </c>
      <c r="F8" s="90" t="s">
        <v>10</v>
      </c>
      <c r="G8" s="114"/>
      <c r="H8" s="90" t="s">
        <v>11</v>
      </c>
      <c r="I8" s="114"/>
      <c r="J8" s="59" t="s">
        <v>12</v>
      </c>
      <c r="K8" s="115" t="s">
        <v>0</v>
      </c>
      <c r="L8" s="115"/>
      <c r="M8" s="3"/>
      <c r="O8" s="4"/>
      <c r="P8" s="4"/>
      <c r="Q8" s="4"/>
      <c r="R8" s="4"/>
      <c r="S8" s="4"/>
      <c r="T8" s="4"/>
      <c r="U8" s="4"/>
    </row>
    <row r="9" spans="1:25" ht="15.75" x14ac:dyDescent="0.25">
      <c r="A9" s="89"/>
      <c r="B9" s="89"/>
      <c r="C9" s="15" t="s">
        <v>56</v>
      </c>
      <c r="D9" s="15" t="s">
        <v>55</v>
      </c>
      <c r="E9" s="15" t="s">
        <v>56</v>
      </c>
      <c r="F9" s="15" t="s">
        <v>55</v>
      </c>
      <c r="G9" s="15" t="s">
        <v>56</v>
      </c>
      <c r="H9" s="15" t="s">
        <v>55</v>
      </c>
      <c r="I9" s="15" t="s">
        <v>56</v>
      </c>
      <c r="J9" s="15" t="s">
        <v>55</v>
      </c>
      <c r="K9" s="115"/>
      <c r="L9" s="115"/>
      <c r="M9" s="3"/>
      <c r="O9" s="4"/>
      <c r="P9" s="4"/>
      <c r="Q9" s="4"/>
      <c r="R9" s="4"/>
      <c r="S9" s="4"/>
      <c r="T9" s="4"/>
      <c r="U9" s="4"/>
    </row>
    <row r="10" spans="1:25" ht="32.25" customHeight="1" x14ac:dyDescent="0.25">
      <c r="A10" s="96" t="s">
        <v>64</v>
      </c>
      <c r="B10" s="96"/>
      <c r="C10" s="32">
        <v>168.13545085260003</v>
      </c>
      <c r="D10" s="32">
        <v>134.30016047695</v>
      </c>
      <c r="E10" s="32">
        <v>134.30016047695</v>
      </c>
      <c r="F10" s="32">
        <v>135.2268168123</v>
      </c>
      <c r="G10" s="32">
        <v>135.2268168123</v>
      </c>
      <c r="H10" s="32">
        <v>134.20618887614</v>
      </c>
      <c r="I10" s="32">
        <v>134.20618887614</v>
      </c>
      <c r="J10" s="32">
        <v>185.25801681662003</v>
      </c>
      <c r="K10" s="125">
        <f>SUM(B10:J10)</f>
        <v>1160.8598000000002</v>
      </c>
      <c r="L10" s="125"/>
      <c r="M10" s="3"/>
      <c r="O10" s="4"/>
      <c r="P10" s="4"/>
      <c r="Q10" s="4"/>
      <c r="R10" s="4"/>
      <c r="S10" s="4"/>
      <c r="T10" s="4"/>
      <c r="U10" s="4"/>
    </row>
    <row r="11" spans="1:25" ht="15.75" x14ac:dyDescent="0.25">
      <c r="A11" s="30"/>
      <c r="B11" s="31"/>
      <c r="C11" s="31"/>
      <c r="D11" s="31"/>
      <c r="E11" s="31"/>
      <c r="F11" s="3"/>
      <c r="G11" s="3"/>
      <c r="H11" s="3"/>
      <c r="I11" s="3"/>
      <c r="J11" s="3"/>
      <c r="K11" s="3"/>
      <c r="L11" s="3"/>
      <c r="M11" s="3"/>
      <c r="N11" s="3"/>
      <c r="O11" s="4"/>
      <c r="P11" s="4"/>
      <c r="Q11" s="4"/>
      <c r="R11" s="4"/>
      <c r="S11" s="4"/>
      <c r="T11" s="4"/>
      <c r="U11" s="4"/>
    </row>
    <row r="12" spans="1:25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  <c r="P12" s="4"/>
      <c r="Q12" s="4"/>
      <c r="R12" s="4"/>
      <c r="S12" s="4"/>
      <c r="T12" s="4"/>
      <c r="U12" s="4"/>
    </row>
    <row r="13" spans="1:25" ht="20.25" x14ac:dyDescent="0.3">
      <c r="A13" s="11" t="s">
        <v>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  <c r="P13" s="4"/>
      <c r="Q13" s="4"/>
      <c r="R13" s="4"/>
      <c r="S13" s="4"/>
      <c r="T13" s="4"/>
      <c r="U13" s="4"/>
    </row>
    <row r="14" spans="1:25" ht="15.75" x14ac:dyDescent="0.25">
      <c r="A14" s="3" t="s">
        <v>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4"/>
      <c r="P14" s="4"/>
      <c r="Q14" s="4"/>
      <c r="R14" s="4"/>
      <c r="S14" s="4"/>
      <c r="T14" s="4"/>
      <c r="U14" s="4"/>
    </row>
    <row r="15" spans="1:25" ht="15.75" x14ac:dyDescent="0.25">
      <c r="A15" s="97" t="s">
        <v>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9"/>
      <c r="P15" s="99"/>
      <c r="Q15" s="99"/>
      <c r="R15" s="99"/>
      <c r="S15" s="99"/>
      <c r="T15" s="99"/>
      <c r="U15" s="99"/>
    </row>
    <row r="16" spans="1:25" ht="15.75" x14ac:dyDescent="0.25">
      <c r="A16" s="97" t="s">
        <v>59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9"/>
      <c r="P16" s="99"/>
      <c r="Q16" s="99"/>
      <c r="R16" s="99"/>
      <c r="S16" s="99"/>
      <c r="T16" s="99"/>
      <c r="U16" s="99"/>
    </row>
    <row r="17" spans="1:25" ht="15.75" customHeight="1" x14ac:dyDescent="0.25">
      <c r="A17" s="97" t="s">
        <v>5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9"/>
      <c r="P17" s="99"/>
      <c r="Q17" s="99"/>
      <c r="R17" s="99"/>
      <c r="S17" s="99"/>
      <c r="T17" s="99"/>
      <c r="U17" s="99"/>
    </row>
    <row r="18" spans="1:25" ht="15.75" x14ac:dyDescent="0.25">
      <c r="A18" s="97" t="s">
        <v>60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9"/>
      <c r="P18" s="99"/>
      <c r="Q18" s="99"/>
      <c r="R18" s="99"/>
      <c r="S18" s="99"/>
      <c r="T18" s="99"/>
      <c r="U18" s="99"/>
    </row>
    <row r="19" spans="1:25" ht="16.5" thickBot="1" x14ac:dyDescent="0.3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48"/>
      <c r="P19" s="48"/>
      <c r="Q19" s="48"/>
      <c r="R19" s="48"/>
      <c r="S19" s="48"/>
      <c r="T19" s="48"/>
      <c r="U19" s="48"/>
    </row>
    <row r="20" spans="1:25" ht="15.75" customHeight="1" thickBot="1" x14ac:dyDescent="0.3">
      <c r="A20" s="101" t="s">
        <v>1</v>
      </c>
      <c r="B20" s="61" t="s">
        <v>8</v>
      </c>
      <c r="C20" s="103" t="s">
        <v>9</v>
      </c>
      <c r="D20" s="104"/>
      <c r="E20" s="103" t="s">
        <v>10</v>
      </c>
      <c r="F20" s="104"/>
      <c r="G20" s="103" t="s">
        <v>11</v>
      </c>
      <c r="H20" s="104"/>
      <c r="I20" s="103" t="s">
        <v>12</v>
      </c>
      <c r="J20" s="104"/>
      <c r="K20" s="103" t="s">
        <v>13</v>
      </c>
      <c r="L20" s="104"/>
      <c r="M20" s="103" t="s">
        <v>14</v>
      </c>
      <c r="N20" s="104"/>
      <c r="O20" s="103" t="s">
        <v>15</v>
      </c>
      <c r="P20" s="104"/>
      <c r="Q20" s="103" t="s">
        <v>16</v>
      </c>
      <c r="R20" s="104"/>
      <c r="S20" s="103" t="s">
        <v>17</v>
      </c>
      <c r="T20" s="104"/>
      <c r="U20" s="103" t="s">
        <v>18</v>
      </c>
      <c r="V20" s="104"/>
      <c r="W20" s="103" t="s">
        <v>23</v>
      </c>
      <c r="X20" s="104"/>
    </row>
    <row r="21" spans="1:25" ht="15.75" customHeight="1" thickBot="1" x14ac:dyDescent="0.3">
      <c r="A21" s="102"/>
      <c r="B21" s="27" t="s">
        <v>56</v>
      </c>
      <c r="C21" s="27" t="s">
        <v>55</v>
      </c>
      <c r="D21" s="27" t="s">
        <v>56</v>
      </c>
      <c r="E21" s="27" t="s">
        <v>55</v>
      </c>
      <c r="F21" s="27" t="s">
        <v>56</v>
      </c>
      <c r="G21" s="27" t="s">
        <v>55</v>
      </c>
      <c r="H21" s="27" t="s">
        <v>56</v>
      </c>
      <c r="I21" s="27" t="s">
        <v>55</v>
      </c>
      <c r="J21" s="27" t="s">
        <v>56</v>
      </c>
      <c r="K21" s="27" t="s">
        <v>55</v>
      </c>
      <c r="L21" s="27" t="s">
        <v>56</v>
      </c>
      <c r="M21" s="27" t="s">
        <v>55</v>
      </c>
      <c r="N21" s="27" t="s">
        <v>56</v>
      </c>
      <c r="O21" s="27" t="s">
        <v>55</v>
      </c>
      <c r="P21" s="27" t="s">
        <v>56</v>
      </c>
      <c r="Q21" s="27" t="s">
        <v>55</v>
      </c>
      <c r="R21" s="27" t="s">
        <v>56</v>
      </c>
      <c r="S21" s="27" t="s">
        <v>55</v>
      </c>
      <c r="T21" s="27" t="s">
        <v>56</v>
      </c>
      <c r="U21" s="27" t="s">
        <v>55</v>
      </c>
      <c r="V21" s="27" t="s">
        <v>56</v>
      </c>
      <c r="W21" s="27" t="s">
        <v>55</v>
      </c>
      <c r="X21" s="27" t="s">
        <v>56</v>
      </c>
    </row>
    <row r="22" spans="1:25" x14ac:dyDescent="0.25">
      <c r="A22" s="13" t="s">
        <v>65</v>
      </c>
      <c r="B22" s="19">
        <v>0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54">
        <f>I24/61</f>
        <v>6.5655185409836054</v>
      </c>
      <c r="W22" s="54">
        <f t="shared" ref="V22:X23" si="0">V22</f>
        <v>6.5655185409836054</v>
      </c>
      <c r="X22" s="58">
        <f t="shared" si="0"/>
        <v>6.5655185409836054</v>
      </c>
    </row>
    <row r="23" spans="1:25" x14ac:dyDescent="0.25">
      <c r="A23" s="28" t="s">
        <v>66</v>
      </c>
      <c r="B23" s="55">
        <f>C10*34.5%</f>
        <v>58.006730544147004</v>
      </c>
      <c r="C23" s="55">
        <f>D10*34.5%</f>
        <v>46.333555364547749</v>
      </c>
      <c r="D23" s="55">
        <f>C23</f>
        <v>46.333555364547749</v>
      </c>
      <c r="E23" s="55">
        <f>F10*34.5%</f>
        <v>46.653251800243495</v>
      </c>
      <c r="F23" s="55">
        <f>E23</f>
        <v>46.653251800243495</v>
      </c>
      <c r="G23" s="55">
        <f>H10*34.5%</f>
        <v>46.301135162268295</v>
      </c>
      <c r="H23" s="55">
        <f>G23</f>
        <v>46.301135162268295</v>
      </c>
      <c r="I23" s="55">
        <f>J10*34.5%</f>
        <v>63.914015801733903</v>
      </c>
      <c r="J23" s="19">
        <v>0</v>
      </c>
      <c r="K23" s="19">
        <v>0</v>
      </c>
      <c r="L23" s="19">
        <f t="shared" ref="L23:S23" si="1">K23</f>
        <v>0</v>
      </c>
      <c r="M23" s="19">
        <f t="shared" si="1"/>
        <v>0</v>
      </c>
      <c r="N23" s="19">
        <f t="shared" si="1"/>
        <v>0</v>
      </c>
      <c r="O23" s="19">
        <f t="shared" si="1"/>
        <v>0</v>
      </c>
      <c r="P23" s="19">
        <f t="shared" si="1"/>
        <v>0</v>
      </c>
      <c r="Q23" s="19">
        <f t="shared" si="1"/>
        <v>0</v>
      </c>
      <c r="R23" s="19">
        <f t="shared" si="1"/>
        <v>0</v>
      </c>
      <c r="S23" s="19">
        <f t="shared" si="1"/>
        <v>0</v>
      </c>
      <c r="T23" s="19">
        <f>S23</f>
        <v>0</v>
      </c>
      <c r="U23" s="19">
        <f>T23</f>
        <v>0</v>
      </c>
      <c r="V23" s="19">
        <f t="shared" si="0"/>
        <v>0</v>
      </c>
      <c r="W23" s="19">
        <f t="shared" si="0"/>
        <v>0</v>
      </c>
      <c r="X23" s="21">
        <f t="shared" si="0"/>
        <v>0</v>
      </c>
    </row>
    <row r="24" spans="1:25" x14ac:dyDescent="0.25">
      <c r="A24" s="8" t="s">
        <v>67</v>
      </c>
      <c r="B24" s="20">
        <f>SUM(B23:B23)</f>
        <v>58.006730544147004</v>
      </c>
      <c r="C24" s="20">
        <f>B24+C23</f>
        <v>104.34028590869475</v>
      </c>
      <c r="D24" s="20">
        <f t="shared" ref="D24:J24" si="2">C24+D23</f>
        <v>150.67384127324249</v>
      </c>
      <c r="E24" s="20">
        <f t="shared" si="2"/>
        <v>197.32709307348597</v>
      </c>
      <c r="F24" s="20">
        <f t="shared" si="2"/>
        <v>243.98034487372945</v>
      </c>
      <c r="G24" s="20">
        <f t="shared" si="2"/>
        <v>290.28148003599773</v>
      </c>
      <c r="H24" s="20">
        <f t="shared" si="2"/>
        <v>336.58261519826601</v>
      </c>
      <c r="I24" s="20">
        <f t="shared" si="2"/>
        <v>400.49663099999992</v>
      </c>
      <c r="J24" s="20">
        <f t="shared" si="2"/>
        <v>400.49663099999992</v>
      </c>
      <c r="K24" s="20">
        <f>J24-J22</f>
        <v>400.49663099999992</v>
      </c>
      <c r="L24" s="20">
        <f>K24-L22</f>
        <v>400.49663099999992</v>
      </c>
      <c r="M24" s="20">
        <f>L24-M22</f>
        <v>400.49663099999992</v>
      </c>
      <c r="N24" s="20">
        <f t="shared" ref="N24:T24" si="3">M24-N22</f>
        <v>400.49663099999992</v>
      </c>
      <c r="O24" s="20">
        <f t="shared" si="3"/>
        <v>400.49663099999992</v>
      </c>
      <c r="P24" s="20">
        <f t="shared" si="3"/>
        <v>400.49663099999992</v>
      </c>
      <c r="Q24" s="20">
        <f t="shared" si="3"/>
        <v>400.49663099999992</v>
      </c>
      <c r="R24" s="20">
        <f t="shared" si="3"/>
        <v>400.49663099999992</v>
      </c>
      <c r="S24" s="20">
        <f>R24-S22</f>
        <v>400.49663099999992</v>
      </c>
      <c r="T24" s="34">
        <f t="shared" si="3"/>
        <v>400.49663099999992</v>
      </c>
      <c r="U24" s="34">
        <f>T24</f>
        <v>400.49663099999992</v>
      </c>
      <c r="V24" s="34">
        <f>U24</f>
        <v>400.49663099999992</v>
      </c>
      <c r="W24" s="34">
        <f>V24-W22</f>
        <v>393.93111245901633</v>
      </c>
      <c r="X24" s="24">
        <f>W24-X22</f>
        <v>387.36559391803274</v>
      </c>
    </row>
    <row r="25" spans="1:25" x14ac:dyDescent="0.25">
      <c r="A25" s="8" t="s">
        <v>68</v>
      </c>
      <c r="B25" s="16">
        <f>B24*0.75%/2</f>
        <v>0.21752523954055125</v>
      </c>
      <c r="C25" s="16">
        <f>C24*0.75%/2</f>
        <v>0.39127607215760529</v>
      </c>
      <c r="D25" s="16">
        <f t="shared" ref="D25:X25" si="4">D24*0.75%/2</f>
        <v>0.56502690477465933</v>
      </c>
      <c r="E25" s="16">
        <f t="shared" si="4"/>
        <v>0.73997659902557233</v>
      </c>
      <c r="F25" s="16">
        <f t="shared" si="4"/>
        <v>0.91492629327648545</v>
      </c>
      <c r="G25" s="16">
        <f t="shared" si="4"/>
        <v>1.0885555501349915</v>
      </c>
      <c r="H25" s="16">
        <f t="shared" si="4"/>
        <v>1.2621848069934976</v>
      </c>
      <c r="I25" s="16">
        <f t="shared" si="4"/>
        <v>1.5018623662499997</v>
      </c>
      <c r="J25" s="16">
        <f t="shared" si="4"/>
        <v>1.5018623662499997</v>
      </c>
      <c r="K25" s="16">
        <f t="shared" si="4"/>
        <v>1.5018623662499997</v>
      </c>
      <c r="L25" s="16">
        <f t="shared" si="4"/>
        <v>1.5018623662499997</v>
      </c>
      <c r="M25" s="16">
        <f t="shared" si="4"/>
        <v>1.5018623662499997</v>
      </c>
      <c r="N25" s="16">
        <f t="shared" si="4"/>
        <v>1.5018623662499997</v>
      </c>
      <c r="O25" s="16">
        <f t="shared" si="4"/>
        <v>1.5018623662499997</v>
      </c>
      <c r="P25" s="16">
        <f t="shared" si="4"/>
        <v>1.5018623662499997</v>
      </c>
      <c r="Q25" s="16">
        <f t="shared" si="4"/>
        <v>1.5018623662499997</v>
      </c>
      <c r="R25" s="16">
        <f t="shared" si="4"/>
        <v>1.5018623662499997</v>
      </c>
      <c r="S25" s="16">
        <f t="shared" si="4"/>
        <v>1.5018623662499997</v>
      </c>
      <c r="T25" s="16">
        <f t="shared" si="4"/>
        <v>1.5018623662499997</v>
      </c>
      <c r="U25" s="16">
        <f t="shared" si="4"/>
        <v>1.5018623662499997</v>
      </c>
      <c r="V25" s="16">
        <f t="shared" si="4"/>
        <v>1.5018623662499997</v>
      </c>
      <c r="W25" s="16">
        <f t="shared" si="4"/>
        <v>1.4772416717213113</v>
      </c>
      <c r="X25" s="24">
        <f t="shared" si="4"/>
        <v>1.4526209771926228</v>
      </c>
    </row>
    <row r="26" spans="1:25" x14ac:dyDescent="0.25">
      <c r="A26" s="9" t="s">
        <v>69</v>
      </c>
      <c r="B26" s="22">
        <f>(I24)*0.25%/2</f>
        <v>0.50062078874999993</v>
      </c>
      <c r="C26" s="22">
        <f>(I24-B23)*0.25%/2</f>
        <v>0.42811237556981618</v>
      </c>
      <c r="D26" s="22">
        <f>(I24-B23-C23)*0.25%/2</f>
        <v>0.37019543136413147</v>
      </c>
      <c r="E26" s="19">
        <f>(I24-B23-C23-D23)*0.25%/2</f>
        <v>0.3122784871584468</v>
      </c>
      <c r="F26" s="19">
        <f>(I24-B23-C23-D23-E23)*0.25%/2</f>
        <v>0.25396192240814247</v>
      </c>
      <c r="G26" s="19">
        <f>(I24-B23-C23-D23-E23-F23)*0.25%/2</f>
        <v>0.19564535765783808</v>
      </c>
      <c r="H26" s="19">
        <f>(I24-B23-C23-D23-E23-F23-G23)*0.25%/2</f>
        <v>0.13776893870500273</v>
      </c>
      <c r="I26" s="19">
        <f>(I24-B23-C23-D23-E23-F23-G23-H23)*0.25%/2</f>
        <v>7.9892519752167351E-2</v>
      </c>
      <c r="J26" s="19">
        <f>(I24-B23-C23-D23-E23-F23-G23-H23-I23)*0.25%/2</f>
        <v>-2.6645352591003756E-17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21">
        <v>0</v>
      </c>
    </row>
    <row r="27" spans="1:25" ht="15.75" thickBot="1" x14ac:dyDescent="0.3">
      <c r="A27" s="10" t="s">
        <v>70</v>
      </c>
      <c r="B27" s="17">
        <f>B24*2%/2</f>
        <v>0.58006730544147</v>
      </c>
      <c r="C27" s="17">
        <f t="shared" ref="C27:X27" si="5">C24*2%/2</f>
        <v>1.0434028590869475</v>
      </c>
      <c r="D27" s="17">
        <f t="shared" si="5"/>
        <v>1.5067384127324248</v>
      </c>
      <c r="E27" s="17">
        <f t="shared" si="5"/>
        <v>1.9732709307348597</v>
      </c>
      <c r="F27" s="17">
        <f t="shared" si="5"/>
        <v>2.4398034487372944</v>
      </c>
      <c r="G27" s="17">
        <f t="shared" si="5"/>
        <v>2.9028148003599772</v>
      </c>
      <c r="H27" s="17">
        <f t="shared" si="5"/>
        <v>3.36582615198266</v>
      </c>
      <c r="I27" s="17">
        <f t="shared" si="5"/>
        <v>4.0049663099999995</v>
      </c>
      <c r="J27" s="17">
        <f t="shared" si="5"/>
        <v>4.0049663099999995</v>
      </c>
      <c r="K27" s="17">
        <f t="shared" si="5"/>
        <v>4.0049663099999995</v>
      </c>
      <c r="L27" s="17">
        <f t="shared" si="5"/>
        <v>4.0049663099999995</v>
      </c>
      <c r="M27" s="17">
        <f t="shared" si="5"/>
        <v>4.0049663099999995</v>
      </c>
      <c r="N27" s="17">
        <f t="shared" si="5"/>
        <v>4.0049663099999995</v>
      </c>
      <c r="O27" s="17">
        <f t="shared" si="5"/>
        <v>4.0049663099999995</v>
      </c>
      <c r="P27" s="17">
        <f t="shared" si="5"/>
        <v>4.0049663099999995</v>
      </c>
      <c r="Q27" s="17">
        <f t="shared" si="5"/>
        <v>4.0049663099999995</v>
      </c>
      <c r="R27" s="17">
        <f t="shared" si="5"/>
        <v>4.0049663099999995</v>
      </c>
      <c r="S27" s="17">
        <f t="shared" si="5"/>
        <v>4.0049663099999995</v>
      </c>
      <c r="T27" s="17">
        <f t="shared" si="5"/>
        <v>4.0049663099999995</v>
      </c>
      <c r="U27" s="17">
        <f t="shared" si="5"/>
        <v>4.0049663099999995</v>
      </c>
      <c r="V27" s="17">
        <f t="shared" si="5"/>
        <v>4.0049663099999995</v>
      </c>
      <c r="W27" s="17">
        <f t="shared" si="5"/>
        <v>3.9393111245901635</v>
      </c>
      <c r="X27" s="42">
        <f t="shared" si="5"/>
        <v>3.8736559391803276</v>
      </c>
    </row>
    <row r="28" spans="1:25" ht="15.75" thickBot="1" x14ac:dyDescent="0.3">
      <c r="A28" s="7" t="s">
        <v>0</v>
      </c>
      <c r="B28" s="18">
        <f t="shared" ref="B28:X28" si="6">SUM(B22,B25,B26,B27)</f>
        <v>1.2982133337320212</v>
      </c>
      <c r="C28" s="18">
        <f t="shared" si="6"/>
        <v>1.8627913068143691</v>
      </c>
      <c r="D28" s="18">
        <f t="shared" si="6"/>
        <v>2.4419607488712156</v>
      </c>
      <c r="E28" s="18">
        <f t="shared" si="6"/>
        <v>3.0255260169188789</v>
      </c>
      <c r="F28" s="18">
        <f t="shared" si="6"/>
        <v>3.6086916644219222</v>
      </c>
      <c r="G28" s="18">
        <f t="shared" si="6"/>
        <v>4.1870157081528063</v>
      </c>
      <c r="H28" s="18">
        <f t="shared" si="6"/>
        <v>4.7657798976811598</v>
      </c>
      <c r="I28" s="18">
        <f t="shared" si="6"/>
        <v>5.5867211960021663</v>
      </c>
      <c r="J28" s="18">
        <f t="shared" si="6"/>
        <v>5.5068286762499987</v>
      </c>
      <c r="K28" s="18">
        <f t="shared" si="6"/>
        <v>5.5068286762499987</v>
      </c>
      <c r="L28" s="18">
        <f t="shared" si="6"/>
        <v>5.5068286762499987</v>
      </c>
      <c r="M28" s="18">
        <f t="shared" si="6"/>
        <v>5.5068286762499987</v>
      </c>
      <c r="N28" s="18">
        <f t="shared" si="6"/>
        <v>5.5068286762499987</v>
      </c>
      <c r="O28" s="18">
        <f t="shared" si="6"/>
        <v>5.5068286762499987</v>
      </c>
      <c r="P28" s="18">
        <f t="shared" si="6"/>
        <v>5.5068286762499987</v>
      </c>
      <c r="Q28" s="18">
        <f t="shared" si="6"/>
        <v>5.5068286762499987</v>
      </c>
      <c r="R28" s="18">
        <f t="shared" si="6"/>
        <v>5.5068286762499987</v>
      </c>
      <c r="S28" s="18">
        <f t="shared" si="6"/>
        <v>5.5068286762499987</v>
      </c>
      <c r="T28" s="18">
        <f t="shared" si="6"/>
        <v>5.5068286762499987</v>
      </c>
      <c r="U28" s="18">
        <f t="shared" si="6"/>
        <v>5.5068286762499987</v>
      </c>
      <c r="V28" s="18">
        <f t="shared" si="6"/>
        <v>12.072347217233606</v>
      </c>
      <c r="W28" s="18">
        <f t="shared" si="6"/>
        <v>11.98207133729508</v>
      </c>
      <c r="X28" s="23">
        <f t="shared" si="6"/>
        <v>11.891795457356556</v>
      </c>
    </row>
    <row r="29" spans="1:25" ht="16.5" thickBot="1" x14ac:dyDescent="0.3">
      <c r="A29" s="110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</row>
    <row r="30" spans="1:25" ht="15.75" customHeight="1" thickBot="1" x14ac:dyDescent="0.3">
      <c r="A30" s="12" t="s">
        <v>1</v>
      </c>
      <c r="B30" s="103" t="s">
        <v>24</v>
      </c>
      <c r="C30" s="113"/>
      <c r="D30" s="103" t="s">
        <v>25</v>
      </c>
      <c r="E30" s="113"/>
      <c r="F30" s="103" t="s">
        <v>26</v>
      </c>
      <c r="G30" s="113"/>
      <c r="H30" s="103" t="s">
        <v>27</v>
      </c>
      <c r="I30" s="113"/>
      <c r="J30" s="103" t="s">
        <v>28</v>
      </c>
      <c r="K30" s="113"/>
      <c r="L30" s="103" t="s">
        <v>29</v>
      </c>
      <c r="M30" s="113"/>
      <c r="N30" s="103" t="s">
        <v>30</v>
      </c>
      <c r="O30" s="113"/>
      <c r="P30" s="103" t="s">
        <v>31</v>
      </c>
      <c r="Q30" s="113"/>
      <c r="R30" s="103" t="s">
        <v>32</v>
      </c>
      <c r="S30" s="113"/>
      <c r="T30" s="103" t="s">
        <v>34</v>
      </c>
      <c r="U30" s="113"/>
      <c r="V30" s="103" t="s">
        <v>35</v>
      </c>
      <c r="W30" s="113"/>
      <c r="X30" s="103" t="s">
        <v>36</v>
      </c>
      <c r="Y30" s="104"/>
    </row>
    <row r="31" spans="1:25" ht="15.75" customHeight="1" thickBot="1" x14ac:dyDescent="0.3">
      <c r="A31" s="12"/>
      <c r="B31" s="27" t="s">
        <v>55</v>
      </c>
      <c r="C31" s="27" t="s">
        <v>56</v>
      </c>
      <c r="D31" s="27" t="s">
        <v>55</v>
      </c>
      <c r="E31" s="27" t="s">
        <v>56</v>
      </c>
      <c r="F31" s="27" t="s">
        <v>55</v>
      </c>
      <c r="G31" s="27" t="s">
        <v>56</v>
      </c>
      <c r="H31" s="27" t="s">
        <v>55</v>
      </c>
      <c r="I31" s="27" t="s">
        <v>56</v>
      </c>
      <c r="J31" s="27" t="s">
        <v>55</v>
      </c>
      <c r="K31" s="27" t="s">
        <v>56</v>
      </c>
      <c r="L31" s="27" t="s">
        <v>55</v>
      </c>
      <c r="M31" s="27" t="s">
        <v>56</v>
      </c>
      <c r="N31" s="27" t="s">
        <v>55</v>
      </c>
      <c r="O31" s="27" t="s">
        <v>56</v>
      </c>
      <c r="P31" s="27" t="s">
        <v>55</v>
      </c>
      <c r="Q31" s="27" t="s">
        <v>56</v>
      </c>
      <c r="R31" s="27" t="s">
        <v>55</v>
      </c>
      <c r="S31" s="27" t="s">
        <v>56</v>
      </c>
      <c r="T31" s="27" t="s">
        <v>55</v>
      </c>
      <c r="U31" s="27" t="s">
        <v>56</v>
      </c>
      <c r="V31" s="27" t="s">
        <v>55</v>
      </c>
      <c r="W31" s="27" t="s">
        <v>56</v>
      </c>
      <c r="X31" s="27" t="s">
        <v>55</v>
      </c>
      <c r="Y31" s="27" t="s">
        <v>56</v>
      </c>
    </row>
    <row r="32" spans="1:25" x14ac:dyDescent="0.25">
      <c r="A32" s="13" t="s">
        <v>65</v>
      </c>
      <c r="B32" s="54">
        <f>X22</f>
        <v>6.5655185409836054</v>
      </c>
      <c r="C32" s="54">
        <f>B32</f>
        <v>6.5655185409836054</v>
      </c>
      <c r="D32" s="54">
        <f t="shared" ref="D32:S33" si="7">C32</f>
        <v>6.5655185409836054</v>
      </c>
      <c r="E32" s="54">
        <f t="shared" si="7"/>
        <v>6.5655185409836054</v>
      </c>
      <c r="F32" s="54">
        <f t="shared" si="7"/>
        <v>6.5655185409836054</v>
      </c>
      <c r="G32" s="54">
        <f t="shared" si="7"/>
        <v>6.5655185409836054</v>
      </c>
      <c r="H32" s="54">
        <f t="shared" si="7"/>
        <v>6.5655185409836054</v>
      </c>
      <c r="I32" s="54">
        <f t="shared" si="7"/>
        <v>6.5655185409836054</v>
      </c>
      <c r="J32" s="54">
        <f t="shared" si="7"/>
        <v>6.5655185409836054</v>
      </c>
      <c r="K32" s="54">
        <f t="shared" si="7"/>
        <v>6.5655185409836054</v>
      </c>
      <c r="L32" s="54">
        <f t="shared" si="7"/>
        <v>6.5655185409836054</v>
      </c>
      <c r="M32" s="54">
        <f t="shared" si="7"/>
        <v>6.5655185409836054</v>
      </c>
      <c r="N32" s="54">
        <f t="shared" si="7"/>
        <v>6.5655185409836054</v>
      </c>
      <c r="O32" s="54">
        <f t="shared" si="7"/>
        <v>6.5655185409836054</v>
      </c>
      <c r="P32" s="54">
        <f t="shared" si="7"/>
        <v>6.5655185409836054</v>
      </c>
      <c r="Q32" s="54">
        <f t="shared" si="7"/>
        <v>6.5655185409836054</v>
      </c>
      <c r="R32" s="54">
        <f t="shared" si="7"/>
        <v>6.5655185409836054</v>
      </c>
      <c r="S32" s="54">
        <f t="shared" si="7"/>
        <v>6.5655185409836054</v>
      </c>
      <c r="T32" s="54">
        <f t="shared" ref="T32:Y33" si="8">S32</f>
        <v>6.5655185409836054</v>
      </c>
      <c r="U32" s="57">
        <f t="shared" si="8"/>
        <v>6.5655185409836054</v>
      </c>
      <c r="V32" s="57">
        <f t="shared" si="8"/>
        <v>6.5655185409836054</v>
      </c>
      <c r="W32" s="57">
        <f t="shared" si="8"/>
        <v>6.5655185409836054</v>
      </c>
      <c r="X32" s="57">
        <f t="shared" si="8"/>
        <v>6.5655185409836054</v>
      </c>
      <c r="Y32" s="58">
        <f t="shared" si="8"/>
        <v>6.5655185409836054</v>
      </c>
    </row>
    <row r="33" spans="1:25" x14ac:dyDescent="0.25">
      <c r="A33" s="14" t="s">
        <v>66</v>
      </c>
      <c r="B33" s="19">
        <f>T23</f>
        <v>0</v>
      </c>
      <c r="C33" s="19">
        <f>B33</f>
        <v>0</v>
      </c>
      <c r="D33" s="19">
        <f t="shared" si="7"/>
        <v>0</v>
      </c>
      <c r="E33" s="19">
        <f t="shared" si="7"/>
        <v>0</v>
      </c>
      <c r="F33" s="19">
        <f t="shared" si="7"/>
        <v>0</v>
      </c>
      <c r="G33" s="19">
        <f t="shared" si="7"/>
        <v>0</v>
      </c>
      <c r="H33" s="19">
        <f t="shared" si="7"/>
        <v>0</v>
      </c>
      <c r="I33" s="19">
        <f t="shared" si="7"/>
        <v>0</v>
      </c>
      <c r="J33" s="19">
        <f t="shared" si="7"/>
        <v>0</v>
      </c>
      <c r="K33" s="19">
        <f t="shared" si="7"/>
        <v>0</v>
      </c>
      <c r="L33" s="19">
        <f t="shared" si="7"/>
        <v>0</v>
      </c>
      <c r="M33" s="19">
        <f t="shared" si="7"/>
        <v>0</v>
      </c>
      <c r="N33" s="19">
        <f t="shared" si="7"/>
        <v>0</v>
      </c>
      <c r="O33" s="19">
        <f t="shared" si="7"/>
        <v>0</v>
      </c>
      <c r="P33" s="19">
        <f t="shared" si="7"/>
        <v>0</v>
      </c>
      <c r="Q33" s="19">
        <f t="shared" si="7"/>
        <v>0</v>
      </c>
      <c r="R33" s="19">
        <f t="shared" si="7"/>
        <v>0</v>
      </c>
      <c r="S33" s="19">
        <f t="shared" si="7"/>
        <v>0</v>
      </c>
      <c r="T33" s="19">
        <f t="shared" si="8"/>
        <v>0</v>
      </c>
      <c r="U33" s="19">
        <f>T33</f>
        <v>0</v>
      </c>
      <c r="V33" s="19">
        <f t="shared" si="8"/>
        <v>0</v>
      </c>
      <c r="W33" s="19">
        <f t="shared" si="8"/>
        <v>0</v>
      </c>
      <c r="X33" s="19">
        <f t="shared" si="8"/>
        <v>0</v>
      </c>
      <c r="Y33" s="29">
        <f t="shared" si="8"/>
        <v>0</v>
      </c>
    </row>
    <row r="34" spans="1:25" x14ac:dyDescent="0.25">
      <c r="A34" s="8" t="s">
        <v>67</v>
      </c>
      <c r="B34" s="20">
        <f>X24-B32</f>
        <v>380.80007537704915</v>
      </c>
      <c r="C34" s="20">
        <f>B34-B32</f>
        <v>374.23455683606556</v>
      </c>
      <c r="D34" s="20">
        <f t="shared" ref="D34:Y34" si="9">C34-C32</f>
        <v>367.66903829508198</v>
      </c>
      <c r="E34" s="20">
        <f t="shared" si="9"/>
        <v>361.10351975409839</v>
      </c>
      <c r="F34" s="20">
        <f t="shared" si="9"/>
        <v>354.5380012131148</v>
      </c>
      <c r="G34" s="20">
        <f t="shared" si="9"/>
        <v>347.97248267213121</v>
      </c>
      <c r="H34" s="20">
        <f t="shared" si="9"/>
        <v>341.40696413114762</v>
      </c>
      <c r="I34" s="20">
        <f t="shared" si="9"/>
        <v>334.84144559016403</v>
      </c>
      <c r="J34" s="20">
        <f t="shared" si="9"/>
        <v>328.27592704918044</v>
      </c>
      <c r="K34" s="20">
        <f t="shared" si="9"/>
        <v>321.71040850819685</v>
      </c>
      <c r="L34" s="20">
        <f t="shared" si="9"/>
        <v>315.14488996721326</v>
      </c>
      <c r="M34" s="20">
        <f t="shared" si="9"/>
        <v>308.57937142622967</v>
      </c>
      <c r="N34" s="20">
        <f t="shared" si="9"/>
        <v>302.01385288524608</v>
      </c>
      <c r="O34" s="20">
        <f t="shared" si="9"/>
        <v>295.44833434426249</v>
      </c>
      <c r="P34" s="20">
        <f t="shared" si="9"/>
        <v>288.8828158032789</v>
      </c>
      <c r="Q34" s="20">
        <f t="shared" si="9"/>
        <v>282.31729726229531</v>
      </c>
      <c r="R34" s="20">
        <f t="shared" si="9"/>
        <v>275.75177872131172</v>
      </c>
      <c r="S34" s="20">
        <f t="shared" si="9"/>
        <v>269.18626018032813</v>
      </c>
      <c r="T34" s="20">
        <f t="shared" si="9"/>
        <v>262.62074163934454</v>
      </c>
      <c r="U34" s="20">
        <f t="shared" si="9"/>
        <v>256.05522309836095</v>
      </c>
      <c r="V34" s="20">
        <f t="shared" si="9"/>
        <v>249.48970455737734</v>
      </c>
      <c r="W34" s="20">
        <f t="shared" si="9"/>
        <v>242.92418601639372</v>
      </c>
      <c r="X34" s="20">
        <f t="shared" si="9"/>
        <v>236.3586674754101</v>
      </c>
      <c r="Y34" s="43">
        <f t="shared" si="9"/>
        <v>229.79314893442648</v>
      </c>
    </row>
    <row r="35" spans="1:25" x14ac:dyDescent="0.25">
      <c r="A35" s="8" t="s">
        <v>68</v>
      </c>
      <c r="B35" s="16">
        <f>B34*0.75%/2</f>
        <v>1.4280002826639342</v>
      </c>
      <c r="C35" s="16">
        <f t="shared" ref="C35:Y35" si="10">C34*0.75%/2</f>
        <v>1.4033795881352458</v>
      </c>
      <c r="D35" s="16">
        <f t="shared" si="10"/>
        <v>1.3787588936065573</v>
      </c>
      <c r="E35" s="16">
        <f t="shared" si="10"/>
        <v>1.3541381990778689</v>
      </c>
      <c r="F35" s="16">
        <f t="shared" si="10"/>
        <v>1.3295175045491805</v>
      </c>
      <c r="G35" s="16">
        <f t="shared" si="10"/>
        <v>1.3048968100204921</v>
      </c>
      <c r="H35" s="16">
        <f t="shared" si="10"/>
        <v>1.2802761154918034</v>
      </c>
      <c r="I35" s="16">
        <f t="shared" si="10"/>
        <v>1.255655420963115</v>
      </c>
      <c r="J35" s="16">
        <f t="shared" si="10"/>
        <v>1.2310347264344266</v>
      </c>
      <c r="K35" s="16">
        <f t="shared" si="10"/>
        <v>1.2064140319057381</v>
      </c>
      <c r="L35" s="16">
        <f t="shared" si="10"/>
        <v>1.1817933373770497</v>
      </c>
      <c r="M35" s="16">
        <f t="shared" si="10"/>
        <v>1.1571726428483613</v>
      </c>
      <c r="N35" s="16">
        <f t="shared" si="10"/>
        <v>1.1325519483196727</v>
      </c>
      <c r="O35" s="16">
        <f t="shared" si="10"/>
        <v>1.1079312537909842</v>
      </c>
      <c r="P35" s="16">
        <f t="shared" si="10"/>
        <v>1.0833105592622958</v>
      </c>
      <c r="Q35" s="16">
        <f t="shared" si="10"/>
        <v>1.0586898647336074</v>
      </c>
      <c r="R35" s="16">
        <f t="shared" si="10"/>
        <v>1.034069170204919</v>
      </c>
      <c r="S35" s="16">
        <f t="shared" si="10"/>
        <v>1.0094484756762305</v>
      </c>
      <c r="T35" s="16">
        <f t="shared" si="10"/>
        <v>0.98482778114754199</v>
      </c>
      <c r="U35" s="16">
        <f t="shared" si="10"/>
        <v>0.96020708661885357</v>
      </c>
      <c r="V35" s="16">
        <f t="shared" si="10"/>
        <v>0.93558639209016503</v>
      </c>
      <c r="W35" s="16">
        <f t="shared" si="10"/>
        <v>0.91096569756147638</v>
      </c>
      <c r="X35" s="16">
        <f t="shared" si="10"/>
        <v>0.88634500303278785</v>
      </c>
      <c r="Y35" s="25">
        <f t="shared" si="10"/>
        <v>0.86172430850409931</v>
      </c>
    </row>
    <row r="36" spans="1:25" x14ac:dyDescent="0.25">
      <c r="A36" s="9" t="s">
        <v>69</v>
      </c>
      <c r="B36" s="16">
        <f>T26</f>
        <v>0</v>
      </c>
      <c r="C36" s="16">
        <f>U26</f>
        <v>0</v>
      </c>
      <c r="D36" s="16">
        <f>V26</f>
        <v>0</v>
      </c>
      <c r="E36" s="16">
        <f>W26</f>
        <v>0</v>
      </c>
      <c r="F36" s="16">
        <f>X26</f>
        <v>0</v>
      </c>
      <c r="G36" s="16">
        <f t="shared" ref="G36:Y36" si="11">Z26</f>
        <v>0</v>
      </c>
      <c r="H36" s="16">
        <f t="shared" si="11"/>
        <v>0</v>
      </c>
      <c r="I36" s="16">
        <f t="shared" si="11"/>
        <v>0</v>
      </c>
      <c r="J36" s="16">
        <f t="shared" si="11"/>
        <v>0</v>
      </c>
      <c r="K36" s="16">
        <f t="shared" si="11"/>
        <v>0</v>
      </c>
      <c r="L36" s="16">
        <f t="shared" si="11"/>
        <v>0</v>
      </c>
      <c r="M36" s="16">
        <f t="shared" si="11"/>
        <v>0</v>
      </c>
      <c r="N36" s="16">
        <f t="shared" si="11"/>
        <v>0</v>
      </c>
      <c r="O36" s="16">
        <f t="shared" si="11"/>
        <v>0</v>
      </c>
      <c r="P36" s="16">
        <f t="shared" si="11"/>
        <v>0</v>
      </c>
      <c r="Q36" s="16">
        <f t="shared" si="11"/>
        <v>0</v>
      </c>
      <c r="R36" s="16">
        <f t="shared" si="11"/>
        <v>0</v>
      </c>
      <c r="S36" s="16">
        <f>AL26</f>
        <v>0</v>
      </c>
      <c r="T36" s="16">
        <f t="shared" si="11"/>
        <v>0</v>
      </c>
      <c r="U36" s="16">
        <f t="shared" si="11"/>
        <v>0</v>
      </c>
      <c r="V36" s="16">
        <f t="shared" si="11"/>
        <v>0</v>
      </c>
      <c r="W36" s="16">
        <f t="shared" si="11"/>
        <v>0</v>
      </c>
      <c r="X36" s="16">
        <f t="shared" si="11"/>
        <v>0</v>
      </c>
      <c r="Y36" s="25">
        <f t="shared" si="11"/>
        <v>0</v>
      </c>
    </row>
    <row r="37" spans="1:25" ht="15.75" thickBot="1" x14ac:dyDescent="0.3">
      <c r="A37" s="10" t="s">
        <v>70</v>
      </c>
      <c r="B37" s="17">
        <f>B34*2%/2</f>
        <v>3.8080007537704916</v>
      </c>
      <c r="C37" s="17">
        <f t="shared" ref="C37:Y37" si="12">C34*2%/2</f>
        <v>3.7423455683606557</v>
      </c>
      <c r="D37" s="17">
        <f t="shared" si="12"/>
        <v>3.6766903829508197</v>
      </c>
      <c r="E37" s="17">
        <f t="shared" si="12"/>
        <v>3.6110351975409838</v>
      </c>
      <c r="F37" s="17">
        <f t="shared" si="12"/>
        <v>3.5453800121311478</v>
      </c>
      <c r="G37" s="17">
        <f t="shared" si="12"/>
        <v>3.4797248267213123</v>
      </c>
      <c r="H37" s="17">
        <f t="shared" si="12"/>
        <v>3.4140696413114764</v>
      </c>
      <c r="I37" s="17">
        <f t="shared" si="12"/>
        <v>3.3484144559016404</v>
      </c>
      <c r="J37" s="17">
        <f t="shared" si="12"/>
        <v>3.2827592704918045</v>
      </c>
      <c r="K37" s="17">
        <f t="shared" si="12"/>
        <v>3.2171040850819685</v>
      </c>
      <c r="L37" s="17">
        <f t="shared" si="12"/>
        <v>3.1514488996721326</v>
      </c>
      <c r="M37" s="17">
        <f t="shared" si="12"/>
        <v>3.0857937142622966</v>
      </c>
      <c r="N37" s="17">
        <f t="shared" si="12"/>
        <v>3.0201385288524607</v>
      </c>
      <c r="O37" s="17">
        <f t="shared" si="12"/>
        <v>2.9544833434426248</v>
      </c>
      <c r="P37" s="17">
        <f t="shared" si="12"/>
        <v>2.8888281580327893</v>
      </c>
      <c r="Q37" s="17">
        <f t="shared" si="12"/>
        <v>2.8231729726229533</v>
      </c>
      <c r="R37" s="17">
        <f t="shared" si="12"/>
        <v>2.7575177872131174</v>
      </c>
      <c r="S37" s="17">
        <f t="shared" si="12"/>
        <v>2.6918626018032814</v>
      </c>
      <c r="T37" s="17">
        <f t="shared" si="12"/>
        <v>2.6262074163934455</v>
      </c>
      <c r="U37" s="17">
        <f t="shared" si="12"/>
        <v>2.5605522309836095</v>
      </c>
      <c r="V37" s="17">
        <f t="shared" si="12"/>
        <v>2.4948970455737736</v>
      </c>
      <c r="W37" s="17">
        <f t="shared" si="12"/>
        <v>2.4292418601639372</v>
      </c>
      <c r="X37" s="17">
        <f t="shared" si="12"/>
        <v>2.3635866747541012</v>
      </c>
      <c r="Y37" s="26">
        <f t="shared" si="12"/>
        <v>2.2979314893442648</v>
      </c>
    </row>
    <row r="38" spans="1:25" ht="15.75" thickBot="1" x14ac:dyDescent="0.3">
      <c r="A38" s="7" t="s">
        <v>0</v>
      </c>
      <c r="B38" s="18">
        <f>SUM(B32,B35,B36,B37)</f>
        <v>11.801519577418031</v>
      </c>
      <c r="C38" s="18">
        <f t="shared" ref="C38:Y38" si="13">SUM(C32,C35,C36,C37)</f>
        <v>11.711243697479507</v>
      </c>
      <c r="D38" s="18">
        <f t="shared" si="13"/>
        <v>11.620967817540983</v>
      </c>
      <c r="E38" s="18">
        <f t="shared" si="13"/>
        <v>11.530691937602459</v>
      </c>
      <c r="F38" s="18">
        <f t="shared" si="13"/>
        <v>11.440416057663933</v>
      </c>
      <c r="G38" s="18">
        <f t="shared" si="13"/>
        <v>11.350140177725409</v>
      </c>
      <c r="H38" s="18">
        <f t="shared" si="13"/>
        <v>11.259864297786885</v>
      </c>
      <c r="I38" s="18">
        <f t="shared" si="13"/>
        <v>11.169588417848361</v>
      </c>
      <c r="J38" s="18">
        <f t="shared" si="13"/>
        <v>11.079312537909836</v>
      </c>
      <c r="K38" s="18">
        <f t="shared" si="13"/>
        <v>10.989036657971312</v>
      </c>
      <c r="L38" s="18">
        <f t="shared" si="13"/>
        <v>10.898760778032788</v>
      </c>
      <c r="M38" s="18">
        <f t="shared" si="13"/>
        <v>10.808484898094264</v>
      </c>
      <c r="N38" s="18">
        <f t="shared" si="13"/>
        <v>10.71820901815574</v>
      </c>
      <c r="O38" s="18">
        <f t="shared" si="13"/>
        <v>10.627933138217214</v>
      </c>
      <c r="P38" s="18">
        <f t="shared" si="13"/>
        <v>10.53765725827869</v>
      </c>
      <c r="Q38" s="18">
        <f t="shared" si="13"/>
        <v>10.447381378340166</v>
      </c>
      <c r="R38" s="18">
        <f t="shared" si="13"/>
        <v>10.357105498401642</v>
      </c>
      <c r="S38" s="18">
        <f t="shared" si="13"/>
        <v>10.266829618463117</v>
      </c>
      <c r="T38" s="18">
        <f t="shared" si="13"/>
        <v>10.176553738524593</v>
      </c>
      <c r="U38" s="18">
        <f t="shared" si="13"/>
        <v>10.086277858586069</v>
      </c>
      <c r="V38" s="18">
        <f t="shared" si="13"/>
        <v>9.9960019786475449</v>
      </c>
      <c r="W38" s="18">
        <f t="shared" si="13"/>
        <v>9.9057260987090192</v>
      </c>
      <c r="X38" s="18">
        <f t="shared" si="13"/>
        <v>9.8154502187704935</v>
      </c>
      <c r="Y38" s="23">
        <f t="shared" si="13"/>
        <v>9.7251743388319696</v>
      </c>
    </row>
    <row r="39" spans="1:25" ht="15.75" thickBot="1" x14ac:dyDescent="0.3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1:25" ht="15.75" customHeight="1" thickBot="1" x14ac:dyDescent="0.3">
      <c r="A40" s="101" t="s">
        <v>1</v>
      </c>
      <c r="B40" s="103" t="s">
        <v>37</v>
      </c>
      <c r="C40" s="113"/>
      <c r="D40" s="103" t="s">
        <v>38</v>
      </c>
      <c r="E40" s="113"/>
      <c r="F40" s="103" t="s">
        <v>39</v>
      </c>
      <c r="G40" s="113"/>
      <c r="H40" s="103" t="s">
        <v>40</v>
      </c>
      <c r="I40" s="113"/>
      <c r="J40" s="103" t="s">
        <v>41</v>
      </c>
      <c r="K40" s="113"/>
      <c r="L40" s="103" t="s">
        <v>42</v>
      </c>
      <c r="M40" s="113"/>
      <c r="N40" s="103" t="s">
        <v>43</v>
      </c>
      <c r="O40" s="113"/>
      <c r="P40" s="103" t="s">
        <v>44</v>
      </c>
      <c r="Q40" s="113"/>
      <c r="R40" s="103" t="s">
        <v>45</v>
      </c>
      <c r="S40" s="113"/>
      <c r="T40" s="103" t="s">
        <v>46</v>
      </c>
      <c r="U40" s="113"/>
      <c r="V40" s="103" t="s">
        <v>47</v>
      </c>
      <c r="W40" s="113"/>
      <c r="X40" s="103" t="s">
        <v>48</v>
      </c>
      <c r="Y40" s="104"/>
    </row>
    <row r="41" spans="1:25" ht="15.75" customHeight="1" thickBot="1" x14ac:dyDescent="0.3">
      <c r="A41" s="102"/>
      <c r="B41" s="27" t="s">
        <v>55</v>
      </c>
      <c r="C41" s="27" t="s">
        <v>56</v>
      </c>
      <c r="D41" s="27" t="s">
        <v>55</v>
      </c>
      <c r="E41" s="27" t="s">
        <v>56</v>
      </c>
      <c r="F41" s="27" t="s">
        <v>55</v>
      </c>
      <c r="G41" s="27" t="s">
        <v>56</v>
      </c>
      <c r="H41" s="27" t="s">
        <v>55</v>
      </c>
      <c r="I41" s="27" t="s">
        <v>56</v>
      </c>
      <c r="J41" s="27" t="s">
        <v>55</v>
      </c>
      <c r="K41" s="27" t="s">
        <v>56</v>
      </c>
      <c r="L41" s="27" t="s">
        <v>55</v>
      </c>
      <c r="M41" s="27" t="s">
        <v>56</v>
      </c>
      <c r="N41" s="27" t="s">
        <v>55</v>
      </c>
      <c r="O41" s="27" t="s">
        <v>56</v>
      </c>
      <c r="P41" s="27" t="s">
        <v>55</v>
      </c>
      <c r="Q41" s="27" t="s">
        <v>56</v>
      </c>
      <c r="R41" s="27" t="s">
        <v>55</v>
      </c>
      <c r="S41" s="27" t="s">
        <v>56</v>
      </c>
      <c r="T41" s="27" t="s">
        <v>55</v>
      </c>
      <c r="U41" s="27" t="s">
        <v>56</v>
      </c>
      <c r="V41" s="27" t="s">
        <v>55</v>
      </c>
      <c r="W41" s="27" t="s">
        <v>56</v>
      </c>
      <c r="X41" s="27" t="s">
        <v>55</v>
      </c>
      <c r="Y41" s="27" t="s">
        <v>56</v>
      </c>
    </row>
    <row r="42" spans="1:25" x14ac:dyDescent="0.25">
      <c r="A42" s="13" t="s">
        <v>65</v>
      </c>
      <c r="B42" s="54">
        <f>Y32</f>
        <v>6.5655185409836054</v>
      </c>
      <c r="C42" s="54">
        <f>B42</f>
        <v>6.5655185409836054</v>
      </c>
      <c r="D42" s="54">
        <f t="shared" ref="D42:Y42" si="14">C42</f>
        <v>6.5655185409836054</v>
      </c>
      <c r="E42" s="54">
        <f t="shared" si="14"/>
        <v>6.5655185409836054</v>
      </c>
      <c r="F42" s="54">
        <f t="shared" si="14"/>
        <v>6.5655185409836054</v>
      </c>
      <c r="G42" s="54">
        <f t="shared" si="14"/>
        <v>6.5655185409836054</v>
      </c>
      <c r="H42" s="54">
        <f t="shared" si="14"/>
        <v>6.5655185409836054</v>
      </c>
      <c r="I42" s="54">
        <f t="shared" si="14"/>
        <v>6.5655185409836054</v>
      </c>
      <c r="J42" s="54">
        <f t="shared" si="14"/>
        <v>6.5655185409836054</v>
      </c>
      <c r="K42" s="54">
        <f t="shared" si="14"/>
        <v>6.5655185409836054</v>
      </c>
      <c r="L42" s="54">
        <f t="shared" si="14"/>
        <v>6.5655185409836054</v>
      </c>
      <c r="M42" s="54">
        <f t="shared" si="14"/>
        <v>6.5655185409836054</v>
      </c>
      <c r="N42" s="54">
        <f t="shared" si="14"/>
        <v>6.5655185409836054</v>
      </c>
      <c r="O42" s="54">
        <f t="shared" si="14"/>
        <v>6.5655185409836054</v>
      </c>
      <c r="P42" s="54">
        <f t="shared" si="14"/>
        <v>6.5655185409836054</v>
      </c>
      <c r="Q42" s="54">
        <f t="shared" si="14"/>
        <v>6.5655185409836054</v>
      </c>
      <c r="R42" s="54">
        <f t="shared" si="14"/>
        <v>6.5655185409836054</v>
      </c>
      <c r="S42" s="54">
        <f t="shared" si="14"/>
        <v>6.5655185409836054</v>
      </c>
      <c r="T42" s="54">
        <f t="shared" si="14"/>
        <v>6.5655185409836054</v>
      </c>
      <c r="U42" s="54">
        <f t="shared" si="14"/>
        <v>6.5655185409836054</v>
      </c>
      <c r="V42" s="54">
        <f t="shared" si="14"/>
        <v>6.5655185409836054</v>
      </c>
      <c r="W42" s="54">
        <f t="shared" si="14"/>
        <v>6.5655185409836054</v>
      </c>
      <c r="X42" s="54">
        <f t="shared" si="14"/>
        <v>6.5655185409836054</v>
      </c>
      <c r="Y42" s="58">
        <f t="shared" si="14"/>
        <v>6.5655185409836054</v>
      </c>
    </row>
    <row r="43" spans="1:25" x14ac:dyDescent="0.25">
      <c r="A43" s="28" t="s">
        <v>66</v>
      </c>
      <c r="B43" s="19">
        <f>Y33</f>
        <v>0</v>
      </c>
      <c r="C43" s="19">
        <f t="shared" ref="C43:Y43" si="15">Z33</f>
        <v>0</v>
      </c>
      <c r="D43" s="19">
        <f t="shared" si="15"/>
        <v>0</v>
      </c>
      <c r="E43" s="19">
        <f t="shared" si="15"/>
        <v>0</v>
      </c>
      <c r="F43" s="19">
        <f t="shared" si="15"/>
        <v>0</v>
      </c>
      <c r="G43" s="19">
        <f t="shared" si="15"/>
        <v>0</v>
      </c>
      <c r="H43" s="19">
        <f t="shared" si="15"/>
        <v>0</v>
      </c>
      <c r="I43" s="19">
        <f t="shared" si="15"/>
        <v>0</v>
      </c>
      <c r="J43" s="19">
        <f t="shared" si="15"/>
        <v>0</v>
      </c>
      <c r="K43" s="19">
        <f t="shared" si="15"/>
        <v>0</v>
      </c>
      <c r="L43" s="19">
        <f t="shared" si="15"/>
        <v>0</v>
      </c>
      <c r="M43" s="19">
        <f t="shared" si="15"/>
        <v>0</v>
      </c>
      <c r="N43" s="19">
        <f t="shared" si="15"/>
        <v>0</v>
      </c>
      <c r="O43" s="19">
        <f t="shared" si="15"/>
        <v>0</v>
      </c>
      <c r="P43" s="19">
        <f t="shared" si="15"/>
        <v>0</v>
      </c>
      <c r="Q43" s="19">
        <f t="shared" si="15"/>
        <v>0</v>
      </c>
      <c r="R43" s="19">
        <f t="shared" si="15"/>
        <v>0</v>
      </c>
      <c r="S43" s="19">
        <f t="shared" si="15"/>
        <v>0</v>
      </c>
      <c r="T43" s="19">
        <f t="shared" si="15"/>
        <v>0</v>
      </c>
      <c r="U43" s="19">
        <f t="shared" si="15"/>
        <v>0</v>
      </c>
      <c r="V43" s="19">
        <f t="shared" si="15"/>
        <v>0</v>
      </c>
      <c r="W43" s="19">
        <f t="shared" si="15"/>
        <v>0</v>
      </c>
      <c r="X43" s="19">
        <f t="shared" si="15"/>
        <v>0</v>
      </c>
      <c r="Y43" s="21">
        <f t="shared" si="15"/>
        <v>0</v>
      </c>
    </row>
    <row r="44" spans="1:25" x14ac:dyDescent="0.25">
      <c r="A44" s="8" t="s">
        <v>67</v>
      </c>
      <c r="B44" s="20">
        <f>Y34-B42</f>
        <v>223.22763039344287</v>
      </c>
      <c r="C44" s="20">
        <f>B44-C42</f>
        <v>216.66211185245925</v>
      </c>
      <c r="D44" s="20">
        <f t="shared" ref="D44:Y44" si="16">C44-D42</f>
        <v>210.09659331147563</v>
      </c>
      <c r="E44" s="20">
        <f t="shared" si="16"/>
        <v>203.53107477049201</v>
      </c>
      <c r="F44" s="20">
        <f t="shared" si="16"/>
        <v>196.96555622950839</v>
      </c>
      <c r="G44" s="20">
        <f t="shared" si="16"/>
        <v>190.40003768852478</v>
      </c>
      <c r="H44" s="20">
        <f t="shared" si="16"/>
        <v>183.83451914754116</v>
      </c>
      <c r="I44" s="20">
        <f t="shared" si="16"/>
        <v>177.26900060655754</v>
      </c>
      <c r="J44" s="20">
        <f t="shared" si="16"/>
        <v>170.70348206557392</v>
      </c>
      <c r="K44" s="20">
        <f t="shared" si="16"/>
        <v>164.1379635245903</v>
      </c>
      <c r="L44" s="20">
        <f t="shared" si="16"/>
        <v>157.57244498360669</v>
      </c>
      <c r="M44" s="20">
        <f t="shared" si="16"/>
        <v>151.00692644262307</v>
      </c>
      <c r="N44" s="20">
        <f t="shared" si="16"/>
        <v>144.44140790163945</v>
      </c>
      <c r="O44" s="20">
        <f t="shared" si="16"/>
        <v>137.87588936065583</v>
      </c>
      <c r="P44" s="20">
        <f t="shared" si="16"/>
        <v>131.31037081967222</v>
      </c>
      <c r="Q44" s="20">
        <f t="shared" si="16"/>
        <v>124.74485227868861</v>
      </c>
      <c r="R44" s="20">
        <f t="shared" si="16"/>
        <v>118.17933373770501</v>
      </c>
      <c r="S44" s="20">
        <f t="shared" si="16"/>
        <v>111.6138151967214</v>
      </c>
      <c r="T44" s="20">
        <f t="shared" si="16"/>
        <v>105.0482966557378</v>
      </c>
      <c r="U44" s="20">
        <f t="shared" si="16"/>
        <v>98.482778114754197</v>
      </c>
      <c r="V44" s="20">
        <f t="shared" si="16"/>
        <v>91.917259573770593</v>
      </c>
      <c r="W44" s="20">
        <f t="shared" si="16"/>
        <v>85.35174103278699</v>
      </c>
      <c r="X44" s="20">
        <f t="shared" si="16"/>
        <v>78.786222491803386</v>
      </c>
      <c r="Y44" s="24">
        <f t="shared" si="16"/>
        <v>72.220703950819782</v>
      </c>
    </row>
    <row r="45" spans="1:25" x14ac:dyDescent="0.25">
      <c r="A45" s="8" t="s">
        <v>68</v>
      </c>
      <c r="B45" s="16">
        <f>B44*0.75%/2</f>
        <v>0.83710361397541067</v>
      </c>
      <c r="C45" s="16">
        <f t="shared" ref="C45:Y45" si="17">C44*0.75%/2</f>
        <v>0.81248291944672213</v>
      </c>
      <c r="D45" s="16">
        <f t="shared" si="17"/>
        <v>0.78786222491803359</v>
      </c>
      <c r="E45" s="16">
        <f t="shared" si="17"/>
        <v>0.76324153038934506</v>
      </c>
      <c r="F45" s="16">
        <f t="shared" si="17"/>
        <v>0.73862083586065641</v>
      </c>
      <c r="G45" s="16">
        <f t="shared" si="17"/>
        <v>0.71400014133196787</v>
      </c>
      <c r="H45" s="16">
        <f t="shared" si="17"/>
        <v>0.68937944680327934</v>
      </c>
      <c r="I45" s="16">
        <f t="shared" si="17"/>
        <v>0.6647587522745908</v>
      </c>
      <c r="J45" s="16">
        <f t="shared" si="17"/>
        <v>0.64013805774590216</v>
      </c>
      <c r="K45" s="16">
        <f t="shared" si="17"/>
        <v>0.61551736321721362</v>
      </c>
      <c r="L45" s="16">
        <f t="shared" si="17"/>
        <v>0.59089666868852508</v>
      </c>
      <c r="M45" s="16">
        <f t="shared" si="17"/>
        <v>0.56627597415983644</v>
      </c>
      <c r="N45" s="16">
        <f t="shared" si="17"/>
        <v>0.5416552796311479</v>
      </c>
      <c r="O45" s="16">
        <f t="shared" si="17"/>
        <v>0.51703458510245937</v>
      </c>
      <c r="P45" s="16">
        <f t="shared" si="17"/>
        <v>0.49241389057377077</v>
      </c>
      <c r="Q45" s="16">
        <f t="shared" si="17"/>
        <v>0.46779319604508229</v>
      </c>
      <c r="R45" s="16">
        <f t="shared" si="17"/>
        <v>0.44317250151639376</v>
      </c>
      <c r="S45" s="16">
        <f t="shared" si="17"/>
        <v>0.41855180698770528</v>
      </c>
      <c r="T45" s="16">
        <f t="shared" si="17"/>
        <v>0.39393111245901674</v>
      </c>
      <c r="U45" s="16">
        <f t="shared" si="17"/>
        <v>0.36931041793032821</v>
      </c>
      <c r="V45" s="16">
        <f t="shared" si="17"/>
        <v>0.34468972340163972</v>
      </c>
      <c r="W45" s="16">
        <f t="shared" si="17"/>
        <v>0.32006902887295119</v>
      </c>
      <c r="X45" s="16">
        <f t="shared" si="17"/>
        <v>0.29544833434426271</v>
      </c>
      <c r="Y45" s="25">
        <f t="shared" si="17"/>
        <v>0.27082763981557417</v>
      </c>
    </row>
    <row r="46" spans="1:25" x14ac:dyDescent="0.25">
      <c r="A46" s="9" t="s">
        <v>69</v>
      </c>
      <c r="B46" s="16">
        <f>Y36</f>
        <v>0</v>
      </c>
      <c r="C46" s="16">
        <f t="shared" ref="C46:Y46" si="18">Z36</f>
        <v>0</v>
      </c>
      <c r="D46" s="16">
        <f t="shared" si="18"/>
        <v>0</v>
      </c>
      <c r="E46" s="16">
        <f t="shared" si="18"/>
        <v>0</v>
      </c>
      <c r="F46" s="16">
        <f t="shared" si="18"/>
        <v>0</v>
      </c>
      <c r="G46" s="16">
        <f t="shared" si="18"/>
        <v>0</v>
      </c>
      <c r="H46" s="16">
        <f t="shared" si="18"/>
        <v>0</v>
      </c>
      <c r="I46" s="16">
        <f t="shared" si="18"/>
        <v>0</v>
      </c>
      <c r="J46" s="16">
        <f t="shared" si="18"/>
        <v>0</v>
      </c>
      <c r="K46" s="16">
        <f t="shared" si="18"/>
        <v>0</v>
      </c>
      <c r="L46" s="16">
        <f t="shared" si="18"/>
        <v>0</v>
      </c>
      <c r="M46" s="16">
        <f t="shared" si="18"/>
        <v>0</v>
      </c>
      <c r="N46" s="16">
        <f t="shared" si="18"/>
        <v>0</v>
      </c>
      <c r="O46" s="16">
        <f t="shared" si="18"/>
        <v>0</v>
      </c>
      <c r="P46" s="16">
        <f t="shared" si="18"/>
        <v>0</v>
      </c>
      <c r="Q46" s="16">
        <f t="shared" si="18"/>
        <v>0</v>
      </c>
      <c r="R46" s="16">
        <f t="shared" si="18"/>
        <v>0</v>
      </c>
      <c r="S46" s="16">
        <f t="shared" si="18"/>
        <v>0</v>
      </c>
      <c r="T46" s="16">
        <f t="shared" si="18"/>
        <v>0</v>
      </c>
      <c r="U46" s="16">
        <f t="shared" si="18"/>
        <v>0</v>
      </c>
      <c r="V46" s="16">
        <f t="shared" si="18"/>
        <v>0</v>
      </c>
      <c r="W46" s="16">
        <f t="shared" si="18"/>
        <v>0</v>
      </c>
      <c r="X46" s="16">
        <f t="shared" si="18"/>
        <v>0</v>
      </c>
      <c r="Y46" s="25">
        <f t="shared" si="18"/>
        <v>0</v>
      </c>
    </row>
    <row r="47" spans="1:25" ht="15.75" thickBot="1" x14ac:dyDescent="0.3">
      <c r="A47" s="10" t="s">
        <v>70</v>
      </c>
      <c r="B47" s="17">
        <f>B44*2%/2</f>
        <v>2.2322763039344289</v>
      </c>
      <c r="C47" s="17">
        <f t="shared" ref="C47:Y47" si="19">C44*2%/2</f>
        <v>2.1666211185245925</v>
      </c>
      <c r="D47" s="17">
        <f t="shared" si="19"/>
        <v>2.1009659331147565</v>
      </c>
      <c r="E47" s="17">
        <f t="shared" si="19"/>
        <v>2.0353107477049202</v>
      </c>
      <c r="F47" s="17">
        <f t="shared" si="19"/>
        <v>1.969655562295084</v>
      </c>
      <c r="G47" s="17">
        <f t="shared" si="19"/>
        <v>1.9040003768852478</v>
      </c>
      <c r="H47" s="17">
        <f t="shared" si="19"/>
        <v>1.8383451914754116</v>
      </c>
      <c r="I47" s="17">
        <f t="shared" si="19"/>
        <v>1.7726900060655755</v>
      </c>
      <c r="J47" s="17">
        <f t="shared" si="19"/>
        <v>1.7070348206557393</v>
      </c>
      <c r="K47" s="17">
        <f t="shared" si="19"/>
        <v>1.6413796352459031</v>
      </c>
      <c r="L47" s="17">
        <f t="shared" si="19"/>
        <v>1.575724449836067</v>
      </c>
      <c r="M47" s="17">
        <f t="shared" si="19"/>
        <v>1.5100692644262308</v>
      </c>
      <c r="N47" s="17">
        <f t="shared" si="19"/>
        <v>1.4444140790163946</v>
      </c>
      <c r="O47" s="17">
        <f t="shared" si="19"/>
        <v>1.3787588936065585</v>
      </c>
      <c r="P47" s="17">
        <f t="shared" si="19"/>
        <v>1.3131037081967223</v>
      </c>
      <c r="Q47" s="17">
        <f t="shared" si="19"/>
        <v>1.2474485227868861</v>
      </c>
      <c r="R47" s="17">
        <f t="shared" si="19"/>
        <v>1.1817933373770502</v>
      </c>
      <c r="S47" s="17">
        <f t="shared" si="19"/>
        <v>1.116138151967214</v>
      </c>
      <c r="T47" s="17">
        <f t="shared" si="19"/>
        <v>1.0504829665573781</v>
      </c>
      <c r="U47" s="17">
        <f t="shared" si="19"/>
        <v>0.98482778114754199</v>
      </c>
      <c r="V47" s="17">
        <f t="shared" si="19"/>
        <v>0.91917259573770593</v>
      </c>
      <c r="W47" s="17">
        <f t="shared" si="19"/>
        <v>0.85351741032786987</v>
      </c>
      <c r="X47" s="17">
        <f t="shared" si="19"/>
        <v>0.78786222491803393</v>
      </c>
      <c r="Y47" s="26">
        <f t="shared" si="19"/>
        <v>0.72220703950819787</v>
      </c>
    </row>
    <row r="48" spans="1:25" ht="15.75" thickBot="1" x14ac:dyDescent="0.3">
      <c r="A48" s="7" t="s">
        <v>0</v>
      </c>
      <c r="B48" s="18">
        <f>SUM(B42,B45,B46,B47)</f>
        <v>9.6348984588934456</v>
      </c>
      <c r="C48" s="18">
        <f t="shared" ref="C48:Y48" si="20">SUM(C42,C45,C46,C47)</f>
        <v>9.5446225789549199</v>
      </c>
      <c r="D48" s="18">
        <f t="shared" si="20"/>
        <v>9.4543466990163942</v>
      </c>
      <c r="E48" s="18">
        <f t="shared" si="20"/>
        <v>9.3640708190778703</v>
      </c>
      <c r="F48" s="18">
        <f t="shared" si="20"/>
        <v>9.2737949391393464</v>
      </c>
      <c r="G48" s="18">
        <f t="shared" si="20"/>
        <v>9.1835190592008207</v>
      </c>
      <c r="H48" s="18">
        <f t="shared" si="20"/>
        <v>9.0932431792622967</v>
      </c>
      <c r="I48" s="18">
        <f t="shared" si="20"/>
        <v>9.002967299323771</v>
      </c>
      <c r="J48" s="18">
        <f t="shared" si="20"/>
        <v>8.9126914193852471</v>
      </c>
      <c r="K48" s="18">
        <f t="shared" si="20"/>
        <v>8.8224155394467214</v>
      </c>
      <c r="L48" s="18">
        <f t="shared" si="20"/>
        <v>8.7321396595081975</v>
      </c>
      <c r="M48" s="18">
        <f t="shared" si="20"/>
        <v>8.6418637795696718</v>
      </c>
      <c r="N48" s="18">
        <f t="shared" si="20"/>
        <v>8.5515878996311478</v>
      </c>
      <c r="O48" s="18">
        <f t="shared" si="20"/>
        <v>8.4613120196926239</v>
      </c>
      <c r="P48" s="18">
        <f t="shared" si="20"/>
        <v>8.3710361397540982</v>
      </c>
      <c r="Q48" s="18">
        <f t="shared" si="20"/>
        <v>8.2807602598155743</v>
      </c>
      <c r="R48" s="18">
        <f t="shared" si="20"/>
        <v>8.1904843798770486</v>
      </c>
      <c r="S48" s="18">
        <f t="shared" si="20"/>
        <v>8.1002084999385247</v>
      </c>
      <c r="T48" s="18">
        <f t="shared" si="20"/>
        <v>8.0099326200000007</v>
      </c>
      <c r="U48" s="18">
        <f t="shared" si="20"/>
        <v>7.9196567400614759</v>
      </c>
      <c r="V48" s="18">
        <f t="shared" si="20"/>
        <v>7.8293808601229511</v>
      </c>
      <c r="W48" s="18">
        <f t="shared" si="20"/>
        <v>7.7391049801844263</v>
      </c>
      <c r="X48" s="18">
        <f t="shared" si="20"/>
        <v>7.6488291002459023</v>
      </c>
      <c r="Y48" s="23">
        <f t="shared" si="20"/>
        <v>7.5585532203073775</v>
      </c>
    </row>
    <row r="49" spans="1:22" ht="15.75" thickBot="1" x14ac:dyDescent="0.3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</row>
    <row r="50" spans="1:22" ht="15.75" thickBot="1" x14ac:dyDescent="0.3">
      <c r="A50" s="101" t="s">
        <v>1</v>
      </c>
      <c r="B50" s="103" t="s">
        <v>49</v>
      </c>
      <c r="C50" s="113"/>
      <c r="D50" s="103" t="s">
        <v>50</v>
      </c>
      <c r="E50" s="113"/>
      <c r="F50" s="103" t="s">
        <v>72</v>
      </c>
      <c r="G50" s="113"/>
      <c r="H50" s="103" t="s">
        <v>51</v>
      </c>
      <c r="I50" s="104"/>
      <c r="J50" s="103" t="s">
        <v>61</v>
      </c>
      <c r="K50" s="104"/>
      <c r="L50" s="116" t="s">
        <v>0</v>
      </c>
      <c r="M50" s="33"/>
      <c r="N50" s="33"/>
      <c r="O50" s="33"/>
      <c r="P50" s="33"/>
      <c r="Q50" s="33"/>
      <c r="R50" s="33"/>
      <c r="S50" s="33"/>
      <c r="T50" s="33"/>
      <c r="U50" s="33"/>
      <c r="V50" s="33"/>
    </row>
    <row r="51" spans="1:22" ht="15.75" thickBot="1" x14ac:dyDescent="0.3">
      <c r="A51" s="102"/>
      <c r="B51" s="27" t="s">
        <v>55</v>
      </c>
      <c r="C51" s="27" t="s">
        <v>56</v>
      </c>
      <c r="D51" s="27" t="s">
        <v>55</v>
      </c>
      <c r="E51" s="27" t="s">
        <v>56</v>
      </c>
      <c r="F51" s="27" t="s">
        <v>55</v>
      </c>
      <c r="G51" s="27" t="s">
        <v>56</v>
      </c>
      <c r="H51" s="27" t="s">
        <v>55</v>
      </c>
      <c r="I51" s="27" t="s">
        <v>56</v>
      </c>
      <c r="J51" s="27" t="s">
        <v>55</v>
      </c>
      <c r="K51" s="27" t="s">
        <v>56</v>
      </c>
      <c r="L51" s="117"/>
      <c r="M51" s="33"/>
      <c r="N51" s="33"/>
      <c r="O51" s="33"/>
      <c r="P51" s="33"/>
      <c r="Q51" s="33"/>
      <c r="R51" s="33"/>
      <c r="S51" s="33"/>
      <c r="T51" s="33"/>
      <c r="U51" s="33"/>
      <c r="V51" s="33"/>
    </row>
    <row r="52" spans="1:22" x14ac:dyDescent="0.25">
      <c r="A52" s="13" t="s">
        <v>65</v>
      </c>
      <c r="B52" s="54">
        <f>Y42</f>
        <v>6.5655185409836054</v>
      </c>
      <c r="C52" s="54">
        <f>B52</f>
        <v>6.5655185409836054</v>
      </c>
      <c r="D52" s="54">
        <f t="shared" ref="D52:I52" si="21">C52</f>
        <v>6.5655185409836054</v>
      </c>
      <c r="E52" s="54">
        <f t="shared" si="21"/>
        <v>6.5655185409836054</v>
      </c>
      <c r="F52" s="54">
        <f t="shared" si="21"/>
        <v>6.5655185409836054</v>
      </c>
      <c r="G52" s="54">
        <f t="shared" si="21"/>
        <v>6.5655185409836054</v>
      </c>
      <c r="H52" s="54">
        <f t="shared" si="21"/>
        <v>6.5655185409836054</v>
      </c>
      <c r="I52" s="54">
        <f t="shared" si="21"/>
        <v>6.5655185409836054</v>
      </c>
      <c r="J52" s="54">
        <f>I52</f>
        <v>6.5655185409836054</v>
      </c>
      <c r="K52" s="54">
        <f>J52</f>
        <v>6.5655185409836054</v>
      </c>
      <c r="L52" s="49">
        <f>SUM(B22:X22,B32:Y32,B42:Y42,B52:K52)</f>
        <v>400.49663099999981</v>
      </c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1:22" x14ac:dyDescent="0.25">
      <c r="A53" s="28" t="s">
        <v>66</v>
      </c>
      <c r="B53" s="19">
        <f>Y43</f>
        <v>0</v>
      </c>
      <c r="C53" s="19">
        <f t="shared" ref="C53:I53" si="22">Z43</f>
        <v>0</v>
      </c>
      <c r="D53" s="19">
        <f t="shared" si="22"/>
        <v>0</v>
      </c>
      <c r="E53" s="19">
        <f t="shared" si="22"/>
        <v>0</v>
      </c>
      <c r="F53" s="19">
        <f t="shared" si="22"/>
        <v>0</v>
      </c>
      <c r="G53" s="19">
        <f t="shared" si="22"/>
        <v>0</v>
      </c>
      <c r="H53" s="19">
        <f t="shared" si="22"/>
        <v>0</v>
      </c>
      <c r="I53" s="19">
        <f t="shared" si="22"/>
        <v>0</v>
      </c>
      <c r="J53" s="19">
        <f>AG43</f>
        <v>0</v>
      </c>
      <c r="K53" s="19">
        <f>AH43</f>
        <v>0</v>
      </c>
      <c r="L53" s="50">
        <f>SUM(B23:X23,B33:Y33,B43:Y43,B53:K53)</f>
        <v>400.49663099999992</v>
      </c>
      <c r="M53" s="33"/>
      <c r="N53" s="33"/>
      <c r="O53" s="33"/>
      <c r="P53" s="33"/>
      <c r="Q53" s="33"/>
      <c r="R53" s="33"/>
      <c r="S53" s="33"/>
      <c r="T53" s="33"/>
      <c r="U53" s="33"/>
      <c r="V53" s="33"/>
    </row>
    <row r="54" spans="1:22" x14ac:dyDescent="0.25">
      <c r="A54" s="8" t="s">
        <v>67</v>
      </c>
      <c r="B54" s="20">
        <f>Y44-B52</f>
        <v>65.655185409836179</v>
      </c>
      <c r="C54" s="20">
        <f t="shared" ref="C54:K54" si="23">B54-C52</f>
        <v>59.089666868852575</v>
      </c>
      <c r="D54" s="20">
        <f t="shared" si="23"/>
        <v>52.524148327868971</v>
      </c>
      <c r="E54" s="20">
        <f t="shared" si="23"/>
        <v>45.958629786885368</v>
      </c>
      <c r="F54" s="20">
        <f t="shared" si="23"/>
        <v>39.393111245901764</v>
      </c>
      <c r="G54" s="20">
        <f t="shared" si="23"/>
        <v>32.82759270491816</v>
      </c>
      <c r="H54" s="20">
        <f t="shared" si="23"/>
        <v>26.262074163934557</v>
      </c>
      <c r="I54" s="20">
        <f t="shared" si="23"/>
        <v>19.696555622950953</v>
      </c>
      <c r="J54" s="20">
        <f t="shared" si="23"/>
        <v>13.131037081967348</v>
      </c>
      <c r="K54" s="20">
        <f t="shared" si="23"/>
        <v>6.5655185409837422</v>
      </c>
      <c r="L54" s="51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1:22" x14ac:dyDescent="0.25">
      <c r="A55" s="8" t="s">
        <v>68</v>
      </c>
      <c r="B55" s="16">
        <f>B54*0.75%/2</f>
        <v>0.24620694528688566</v>
      </c>
      <c r="C55" s="16">
        <f t="shared" ref="C55:K55" si="24">C54*0.75%/2</f>
        <v>0.22158625075819716</v>
      </c>
      <c r="D55" s="16">
        <f t="shared" si="24"/>
        <v>0.19696555622950865</v>
      </c>
      <c r="E55" s="16">
        <f t="shared" si="24"/>
        <v>0.17234486170082011</v>
      </c>
      <c r="F55" s="16">
        <f t="shared" si="24"/>
        <v>0.1477241671721316</v>
      </c>
      <c r="G55" s="16">
        <f t="shared" si="24"/>
        <v>0.1231034726434431</v>
      </c>
      <c r="H55" s="16">
        <f t="shared" si="24"/>
        <v>9.8482778114754588E-2</v>
      </c>
      <c r="I55" s="16">
        <f t="shared" si="24"/>
        <v>7.3862083586066066E-2</v>
      </c>
      <c r="J55" s="16">
        <f t="shared" si="24"/>
        <v>4.9241389057377551E-2</v>
      </c>
      <c r="K55" s="16">
        <f t="shared" si="24"/>
        <v>2.4620694528689032E-2</v>
      </c>
      <c r="L55" s="50">
        <f>SUM(B25:X25,B35:Y35,B45:Y45,B55:K55)</f>
        <v>71.261415580903403</v>
      </c>
      <c r="M55" s="33"/>
      <c r="N55" s="33"/>
      <c r="O55" s="33"/>
      <c r="P55" s="33"/>
      <c r="Q55" s="33"/>
      <c r="R55" s="33"/>
      <c r="S55" s="33"/>
      <c r="T55" s="33"/>
      <c r="U55" s="33"/>
      <c r="V55" s="33"/>
    </row>
    <row r="56" spans="1:22" x14ac:dyDescent="0.25">
      <c r="A56" s="9" t="s">
        <v>69</v>
      </c>
      <c r="B56" s="16">
        <f>Y46</f>
        <v>0</v>
      </c>
      <c r="C56" s="16">
        <f t="shared" ref="C56:I56" si="25">Z46</f>
        <v>0</v>
      </c>
      <c r="D56" s="16">
        <f t="shared" si="25"/>
        <v>0</v>
      </c>
      <c r="E56" s="16">
        <f t="shared" si="25"/>
        <v>0</v>
      </c>
      <c r="F56" s="16">
        <f t="shared" si="25"/>
        <v>0</v>
      </c>
      <c r="G56" s="16">
        <f t="shared" si="25"/>
        <v>0</v>
      </c>
      <c r="H56" s="16">
        <f t="shared" si="25"/>
        <v>0</v>
      </c>
      <c r="I56" s="16">
        <f t="shared" si="25"/>
        <v>0</v>
      </c>
      <c r="J56" s="16">
        <f>AG46</f>
        <v>0</v>
      </c>
      <c r="K56" s="16">
        <f>AH46</f>
        <v>0</v>
      </c>
      <c r="L56" s="50">
        <f>SUM(B26:X26,B36:Y36,B46:Y46,B56:K56)</f>
        <v>2.2784758213655452</v>
      </c>
      <c r="S56" s="33"/>
      <c r="T56" s="33"/>
      <c r="U56" s="33"/>
      <c r="V56" s="33"/>
    </row>
    <row r="57" spans="1:22" ht="15.75" thickBot="1" x14ac:dyDescent="0.3">
      <c r="A57" s="10" t="s">
        <v>70</v>
      </c>
      <c r="B57" s="17">
        <f>B54*2%/2</f>
        <v>0.65655185409836181</v>
      </c>
      <c r="C57" s="17">
        <f t="shared" ref="C57:K57" si="26">C54*2%/2</f>
        <v>0.59089666868852575</v>
      </c>
      <c r="D57" s="17">
        <f t="shared" si="26"/>
        <v>0.52524148327868969</v>
      </c>
      <c r="E57" s="17">
        <f t="shared" si="26"/>
        <v>0.45958629786885369</v>
      </c>
      <c r="F57" s="17">
        <f t="shared" si="26"/>
        <v>0.39393111245901763</v>
      </c>
      <c r="G57" s="17">
        <f t="shared" si="26"/>
        <v>0.32827592704918163</v>
      </c>
      <c r="H57" s="17">
        <f t="shared" si="26"/>
        <v>0.26262074163934557</v>
      </c>
      <c r="I57" s="17">
        <f t="shared" si="26"/>
        <v>0.19696555622950954</v>
      </c>
      <c r="J57" s="17">
        <f t="shared" si="26"/>
        <v>0.13131037081967348</v>
      </c>
      <c r="K57" s="17">
        <f t="shared" si="26"/>
        <v>6.5655185409837419E-2</v>
      </c>
      <c r="L57" s="52">
        <f>SUM(B27:X27,B37:Y37,B47:Y47,B57:K57)</f>
        <v>190.0304415490757</v>
      </c>
      <c r="M57" s="33"/>
      <c r="T57" s="33"/>
      <c r="U57" s="33"/>
      <c r="V57" s="33"/>
    </row>
    <row r="58" spans="1:22" ht="16.5" thickBot="1" x14ac:dyDescent="0.3">
      <c r="A58" s="7" t="s">
        <v>0</v>
      </c>
      <c r="B58" s="18">
        <f>SUM(B52,B55,B56,B57)</f>
        <v>7.4682773403688536</v>
      </c>
      <c r="C58" s="18">
        <f t="shared" ref="C58:K58" si="27">SUM(C52,C55,C56,C57)</f>
        <v>7.3780014604303279</v>
      </c>
      <c r="D58" s="18">
        <f t="shared" si="27"/>
        <v>7.2877255804918031</v>
      </c>
      <c r="E58" s="18">
        <f t="shared" si="27"/>
        <v>7.1974497005532792</v>
      </c>
      <c r="F58" s="18">
        <f t="shared" si="27"/>
        <v>7.1071738206147543</v>
      </c>
      <c r="G58" s="18">
        <f t="shared" si="27"/>
        <v>7.0168979406762304</v>
      </c>
      <c r="H58" s="18">
        <f t="shared" si="27"/>
        <v>6.9266220607377056</v>
      </c>
      <c r="I58" s="18">
        <f t="shared" si="27"/>
        <v>6.8363461807991808</v>
      </c>
      <c r="J58" s="18">
        <f t="shared" si="27"/>
        <v>6.7460703008606568</v>
      </c>
      <c r="K58" s="18">
        <f t="shared" si="27"/>
        <v>6.655794420922132</v>
      </c>
      <c r="L58" s="53">
        <f>SUM(L52,L55,L56,L57)</f>
        <v>664.06696395134441</v>
      </c>
      <c r="N58" s="118" t="s">
        <v>52</v>
      </c>
      <c r="O58" s="119"/>
      <c r="P58" s="119"/>
      <c r="Q58" s="120"/>
      <c r="R58" s="121">
        <f>L58</f>
        <v>664.06696395134441</v>
      </c>
      <c r="S58" s="122"/>
      <c r="T58" s="121" t="s">
        <v>71</v>
      </c>
      <c r="U58" s="122"/>
      <c r="V58" s="33"/>
    </row>
    <row r="59" spans="1:22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  <row r="60" spans="1:22" ht="20.25" x14ac:dyDescent="0.3">
      <c r="A60" s="11" t="s">
        <v>3</v>
      </c>
    </row>
    <row r="61" spans="1:22" ht="15.75" x14ac:dyDescent="0.25">
      <c r="A61" s="3" t="s">
        <v>62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4"/>
      <c r="P61" s="4"/>
      <c r="Q61" s="4"/>
      <c r="R61" s="4"/>
      <c r="S61" s="4"/>
      <c r="T61" s="4"/>
      <c r="U61" s="4"/>
    </row>
    <row r="62" spans="1:22" ht="15.75" customHeight="1" x14ac:dyDescent="0.25">
      <c r="A62" s="97" t="s">
        <v>54</v>
      </c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</row>
    <row r="63" spans="1:22" ht="15.75" customHeight="1" x14ac:dyDescent="0.25">
      <c r="A63" s="97" t="s">
        <v>59</v>
      </c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</row>
    <row r="64" spans="1:22" ht="15.75" customHeight="1" x14ac:dyDescent="0.25">
      <c r="A64" s="97" t="s">
        <v>5</v>
      </c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</row>
    <row r="65" spans="1:25" ht="15.75" customHeight="1" x14ac:dyDescent="0.25">
      <c r="A65" s="97" t="s">
        <v>60</v>
      </c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</row>
    <row r="66" spans="1:25" ht="15.75" thickBot="1" x14ac:dyDescent="0.3"/>
    <row r="67" spans="1:25" ht="15.75" thickBot="1" x14ac:dyDescent="0.3">
      <c r="A67" s="101" t="s">
        <v>1</v>
      </c>
      <c r="B67" s="61" t="s">
        <v>8</v>
      </c>
      <c r="C67" s="103" t="s">
        <v>9</v>
      </c>
      <c r="D67" s="104"/>
      <c r="E67" s="103" t="s">
        <v>10</v>
      </c>
      <c r="F67" s="104"/>
      <c r="G67" s="103" t="s">
        <v>11</v>
      </c>
      <c r="H67" s="104"/>
      <c r="I67" s="103" t="s">
        <v>12</v>
      </c>
      <c r="J67" s="104"/>
      <c r="K67" s="103" t="s">
        <v>13</v>
      </c>
      <c r="L67" s="104"/>
      <c r="M67" s="103" t="s">
        <v>14</v>
      </c>
      <c r="N67" s="104"/>
      <c r="O67" s="103" t="s">
        <v>15</v>
      </c>
      <c r="P67" s="104"/>
      <c r="Q67" s="103" t="s">
        <v>16</v>
      </c>
      <c r="R67" s="104"/>
      <c r="S67" s="103" t="s">
        <v>17</v>
      </c>
      <c r="T67" s="104"/>
      <c r="U67" s="103" t="s">
        <v>18</v>
      </c>
      <c r="V67" s="104"/>
      <c r="W67" s="103" t="s">
        <v>23</v>
      </c>
      <c r="X67" s="104"/>
      <c r="Y67" s="123" t="s">
        <v>0</v>
      </c>
    </row>
    <row r="68" spans="1:25" ht="15.75" thickBot="1" x14ac:dyDescent="0.3">
      <c r="A68" s="102"/>
      <c r="B68" s="27" t="s">
        <v>56</v>
      </c>
      <c r="C68" s="27" t="s">
        <v>55</v>
      </c>
      <c r="D68" s="27" t="s">
        <v>56</v>
      </c>
      <c r="E68" s="27" t="s">
        <v>55</v>
      </c>
      <c r="F68" s="27" t="s">
        <v>56</v>
      </c>
      <c r="G68" s="27" t="s">
        <v>55</v>
      </c>
      <c r="H68" s="27" t="s">
        <v>56</v>
      </c>
      <c r="I68" s="27" t="s">
        <v>55</v>
      </c>
      <c r="J68" s="27" t="s">
        <v>56</v>
      </c>
      <c r="K68" s="27" t="s">
        <v>55</v>
      </c>
      <c r="L68" s="27" t="s">
        <v>56</v>
      </c>
      <c r="M68" s="27" t="s">
        <v>55</v>
      </c>
      <c r="N68" s="27" t="s">
        <v>56</v>
      </c>
      <c r="O68" s="27" t="s">
        <v>55</v>
      </c>
      <c r="P68" s="27" t="s">
        <v>56</v>
      </c>
      <c r="Q68" s="27" t="s">
        <v>55</v>
      </c>
      <c r="R68" s="27" t="s">
        <v>56</v>
      </c>
      <c r="S68" s="27" t="s">
        <v>55</v>
      </c>
      <c r="T68" s="27" t="s">
        <v>56</v>
      </c>
      <c r="U68" s="27" t="s">
        <v>55</v>
      </c>
      <c r="V68" s="27" t="s">
        <v>56</v>
      </c>
      <c r="W68" s="27" t="s">
        <v>55</v>
      </c>
      <c r="X68" s="27" t="s">
        <v>56</v>
      </c>
      <c r="Y68" s="124"/>
    </row>
    <row r="69" spans="1:25" x14ac:dyDescent="0.25">
      <c r="A69" s="13" t="s">
        <v>65</v>
      </c>
      <c r="B69" s="19">
        <v>0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57">
        <f>I71/15</f>
        <v>50.690877933333333</v>
      </c>
      <c r="K69" s="57">
        <f t="shared" ref="K69:V69" si="28">J69</f>
        <v>50.690877933333333</v>
      </c>
      <c r="L69" s="57">
        <f t="shared" si="28"/>
        <v>50.690877933333333</v>
      </c>
      <c r="M69" s="57">
        <f t="shared" si="28"/>
        <v>50.690877933333333</v>
      </c>
      <c r="N69" s="57">
        <f t="shared" si="28"/>
        <v>50.690877933333333</v>
      </c>
      <c r="O69" s="57">
        <f t="shared" si="28"/>
        <v>50.690877933333333</v>
      </c>
      <c r="P69" s="57">
        <f t="shared" si="28"/>
        <v>50.690877933333333</v>
      </c>
      <c r="Q69" s="57">
        <f t="shared" si="28"/>
        <v>50.690877933333333</v>
      </c>
      <c r="R69" s="57">
        <f t="shared" si="28"/>
        <v>50.690877933333333</v>
      </c>
      <c r="S69" s="57">
        <f t="shared" si="28"/>
        <v>50.690877933333333</v>
      </c>
      <c r="T69" s="57">
        <f t="shared" si="28"/>
        <v>50.690877933333333</v>
      </c>
      <c r="U69" s="57">
        <f t="shared" si="28"/>
        <v>50.690877933333333</v>
      </c>
      <c r="V69" s="57">
        <f t="shared" si="28"/>
        <v>50.690877933333333</v>
      </c>
      <c r="W69" s="57">
        <f>V69</f>
        <v>50.690877933333333</v>
      </c>
      <c r="X69" s="57">
        <f>W69</f>
        <v>50.690877933333333</v>
      </c>
      <c r="Y69" s="37">
        <f>SUM(B69:X69)</f>
        <v>760.3631690000002</v>
      </c>
    </row>
    <row r="70" spans="1:25" x14ac:dyDescent="0.25">
      <c r="A70" s="28" t="s">
        <v>66</v>
      </c>
      <c r="B70" s="55">
        <f>C10*65.5%</f>
        <v>110.12872030845303</v>
      </c>
      <c r="C70" s="55">
        <f>D10*65.5%</f>
        <v>87.966605112402249</v>
      </c>
      <c r="D70" s="55">
        <f>C70</f>
        <v>87.966605112402249</v>
      </c>
      <c r="E70" s="55">
        <f>F10*65.5%</f>
        <v>88.573565012056505</v>
      </c>
      <c r="F70" s="55">
        <f>E70</f>
        <v>88.573565012056505</v>
      </c>
      <c r="G70" s="55">
        <f>H10*65.5%</f>
        <v>87.905053713871709</v>
      </c>
      <c r="H70" s="55">
        <f>G70</f>
        <v>87.905053713871709</v>
      </c>
      <c r="I70" s="55">
        <f>J10*65.5%</f>
        <v>121.34400101488612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8">
        <f>SUM(B70:X70)</f>
        <v>760.36316899999997</v>
      </c>
    </row>
    <row r="71" spans="1:25" x14ac:dyDescent="0.25">
      <c r="A71" s="8" t="s">
        <v>67</v>
      </c>
      <c r="B71" s="20">
        <f>B70</f>
        <v>110.12872030845303</v>
      </c>
      <c r="C71" s="20">
        <f t="shared" ref="C71:I71" si="29">B71+C70</f>
        <v>198.09532542085526</v>
      </c>
      <c r="D71" s="20">
        <f t="shared" si="29"/>
        <v>286.06193053325751</v>
      </c>
      <c r="E71" s="20">
        <f t="shared" si="29"/>
        <v>374.63549554531403</v>
      </c>
      <c r="F71" s="20">
        <f t="shared" si="29"/>
        <v>463.20906055737055</v>
      </c>
      <c r="G71" s="20">
        <f t="shared" si="29"/>
        <v>551.11411427124222</v>
      </c>
      <c r="H71" s="20">
        <f t="shared" si="29"/>
        <v>639.01916798511388</v>
      </c>
      <c r="I71" s="20">
        <f t="shared" si="29"/>
        <v>760.36316899999997</v>
      </c>
      <c r="J71" s="34">
        <f>I71</f>
        <v>760.36316899999997</v>
      </c>
      <c r="K71" s="34">
        <f>J71-K69</f>
        <v>709.67229106666662</v>
      </c>
      <c r="L71" s="34">
        <f>K71-L69</f>
        <v>658.98141313333326</v>
      </c>
      <c r="M71" s="34">
        <f t="shared" ref="M71:V71" si="30">L71-M69</f>
        <v>608.29053519999991</v>
      </c>
      <c r="N71" s="34">
        <f t="shared" si="30"/>
        <v>557.59965726666655</v>
      </c>
      <c r="O71" s="34">
        <f t="shared" si="30"/>
        <v>506.9087793333332</v>
      </c>
      <c r="P71" s="34">
        <f t="shared" si="30"/>
        <v>456.21790139999985</v>
      </c>
      <c r="Q71" s="34">
        <f t="shared" si="30"/>
        <v>405.52702346666649</v>
      </c>
      <c r="R71" s="34">
        <f t="shared" si="30"/>
        <v>354.83614553333314</v>
      </c>
      <c r="S71" s="34">
        <f t="shared" si="30"/>
        <v>304.14526759999978</v>
      </c>
      <c r="T71" s="34">
        <f t="shared" si="30"/>
        <v>253.45438966666646</v>
      </c>
      <c r="U71" s="34">
        <f t="shared" si="30"/>
        <v>202.76351173333313</v>
      </c>
      <c r="V71" s="34">
        <f t="shared" si="30"/>
        <v>152.07263379999981</v>
      </c>
      <c r="W71" s="34">
        <f>V71-W69</f>
        <v>101.38175586666648</v>
      </c>
      <c r="X71" s="34">
        <f>W71-X69</f>
        <v>50.690877933333148</v>
      </c>
      <c r="Y71" s="39"/>
    </row>
    <row r="72" spans="1:25" x14ac:dyDescent="0.25">
      <c r="A72" s="8" t="s">
        <v>68</v>
      </c>
      <c r="B72" s="16">
        <f>B71*5.49%/2</f>
        <v>3.0230333724670357</v>
      </c>
      <c r="C72" s="16">
        <f t="shared" ref="C72:R72" si="31">C71*5.49%/2</f>
        <v>5.4377166828024777</v>
      </c>
      <c r="D72" s="16">
        <f t="shared" si="31"/>
        <v>7.8523999931379196</v>
      </c>
      <c r="E72" s="16">
        <f t="shared" si="31"/>
        <v>10.283744352718871</v>
      </c>
      <c r="F72" s="16">
        <f t="shared" si="31"/>
        <v>12.715088712299822</v>
      </c>
      <c r="G72" s="16">
        <f t="shared" si="31"/>
        <v>15.128082436745601</v>
      </c>
      <c r="H72" s="16">
        <f t="shared" si="31"/>
        <v>17.541076161191377</v>
      </c>
      <c r="I72" s="16">
        <f t="shared" si="31"/>
        <v>20.87196898905</v>
      </c>
      <c r="J72" s="16">
        <f t="shared" si="31"/>
        <v>20.87196898905</v>
      </c>
      <c r="K72" s="16">
        <f t="shared" si="31"/>
        <v>19.480504389780002</v>
      </c>
      <c r="L72" s="16">
        <f t="shared" si="31"/>
        <v>18.08903979051</v>
      </c>
      <c r="M72" s="16">
        <f t="shared" si="31"/>
        <v>16.697575191239999</v>
      </c>
      <c r="N72" s="16">
        <f t="shared" si="31"/>
        <v>15.306110591969999</v>
      </c>
      <c r="O72" s="16">
        <f t="shared" si="31"/>
        <v>13.914645992699997</v>
      </c>
      <c r="P72" s="16">
        <f t="shared" si="31"/>
        <v>12.523181393429997</v>
      </c>
      <c r="Q72" s="16">
        <f t="shared" si="31"/>
        <v>11.131716794159995</v>
      </c>
      <c r="R72" s="16">
        <f t="shared" si="31"/>
        <v>9.7402521948899956</v>
      </c>
      <c r="S72" s="16">
        <f t="shared" ref="S72:X72" si="32">S71*5.49%/2</f>
        <v>8.348787595619994</v>
      </c>
      <c r="T72" s="16">
        <f t="shared" si="32"/>
        <v>6.957322996349995</v>
      </c>
      <c r="U72" s="16">
        <f t="shared" si="32"/>
        <v>5.5658583970799951</v>
      </c>
      <c r="V72" s="16">
        <f t="shared" si="32"/>
        <v>4.1743937978099952</v>
      </c>
      <c r="W72" s="16">
        <f t="shared" si="32"/>
        <v>2.7829291985399953</v>
      </c>
      <c r="X72" s="16">
        <f t="shared" si="32"/>
        <v>1.391464599269995</v>
      </c>
      <c r="Y72" s="38">
        <f>SUM(B72:X72)</f>
        <v>259.82886261281311</v>
      </c>
    </row>
    <row r="73" spans="1:25" x14ac:dyDescent="0.25">
      <c r="A73" s="9" t="s">
        <v>69</v>
      </c>
      <c r="B73" s="22">
        <f>(I71)*0.25%/2</f>
        <v>0.95045396125000003</v>
      </c>
      <c r="C73" s="22">
        <f>(I71-B70)*0.25%/2</f>
        <v>0.8127930608644337</v>
      </c>
      <c r="D73" s="22">
        <f>(I71-B70-C70)*0.25%/2</f>
        <v>0.70283480447393087</v>
      </c>
      <c r="E73" s="22">
        <f>(I71-B70-C70-D70)*0.25%/2</f>
        <v>0.59287654808342805</v>
      </c>
      <c r="F73" s="22">
        <f>(I71-B70-C70-D70-E70)*0.25%/2</f>
        <v>0.48215959181835744</v>
      </c>
      <c r="G73" s="22">
        <f>(I71-B70-C70-D70-E70-F70)*0.25%/2</f>
        <v>0.37144263555328677</v>
      </c>
      <c r="H73" s="22">
        <f>(I71-B70-C70-D70-E70-F70-G70)*0.25%/2</f>
        <v>0.26156131841094715</v>
      </c>
      <c r="I73" s="22">
        <f>(I71-B70-C70-D70-E70-F70-G70-H70)*0.25%/2</f>
        <v>0.15168000126860748</v>
      </c>
      <c r="J73" s="34">
        <f>(I71-B70-C70-D70-E70-F70-G70-H70-I70)*0.25%/2</f>
        <v>-1.5987211554602254E-16</v>
      </c>
      <c r="K73" s="34">
        <f>J73</f>
        <v>-1.5987211554602254E-16</v>
      </c>
      <c r="L73" s="34">
        <f t="shared" ref="L73:V73" si="33">K73</f>
        <v>-1.5987211554602254E-16</v>
      </c>
      <c r="M73" s="34">
        <f t="shared" si="33"/>
        <v>-1.5987211554602254E-16</v>
      </c>
      <c r="N73" s="34">
        <f t="shared" si="33"/>
        <v>-1.5987211554602254E-16</v>
      </c>
      <c r="O73" s="34">
        <f t="shared" si="33"/>
        <v>-1.5987211554602254E-16</v>
      </c>
      <c r="P73" s="34">
        <f t="shared" si="33"/>
        <v>-1.5987211554602254E-16</v>
      </c>
      <c r="Q73" s="34">
        <f t="shared" si="33"/>
        <v>-1.5987211554602254E-16</v>
      </c>
      <c r="R73" s="34">
        <f t="shared" si="33"/>
        <v>-1.5987211554602254E-16</v>
      </c>
      <c r="S73" s="34">
        <f t="shared" si="33"/>
        <v>-1.5987211554602254E-16</v>
      </c>
      <c r="T73" s="34">
        <f t="shared" si="33"/>
        <v>-1.5987211554602254E-16</v>
      </c>
      <c r="U73" s="34">
        <f t="shared" si="33"/>
        <v>-1.5987211554602254E-16</v>
      </c>
      <c r="V73" s="34">
        <f t="shared" si="33"/>
        <v>-1.5987211554602254E-16</v>
      </c>
      <c r="W73" s="34">
        <f>V73</f>
        <v>-1.5987211554602254E-16</v>
      </c>
      <c r="X73" s="34">
        <f>W73</f>
        <v>-1.5987211554602254E-16</v>
      </c>
      <c r="Y73" s="38">
        <f>SUM(B73:X73)</f>
        <v>4.3258019217229915</v>
      </c>
    </row>
    <row r="74" spans="1:25" ht="15.75" thickBot="1" x14ac:dyDescent="0.3">
      <c r="A74" s="10" t="s">
        <v>70</v>
      </c>
      <c r="B74" s="17">
        <f t="shared" ref="B74:J74" si="34">B71*2%/2</f>
        <v>1.1012872030845302</v>
      </c>
      <c r="C74" s="17">
        <f t="shared" si="34"/>
        <v>1.9809532542085526</v>
      </c>
      <c r="D74" s="17">
        <f t="shared" si="34"/>
        <v>2.860619305332575</v>
      </c>
      <c r="E74" s="17">
        <f t="shared" si="34"/>
        <v>3.7463549554531403</v>
      </c>
      <c r="F74" s="17">
        <f t="shared" si="34"/>
        <v>4.6320906055737057</v>
      </c>
      <c r="G74" s="17">
        <f t="shared" si="34"/>
        <v>5.5111411427124226</v>
      </c>
      <c r="H74" s="17">
        <f t="shared" si="34"/>
        <v>6.3901916798511387</v>
      </c>
      <c r="I74" s="17">
        <f t="shared" si="34"/>
        <v>7.6036316900000003</v>
      </c>
      <c r="J74" s="17">
        <f t="shared" si="34"/>
        <v>7.6036316900000003</v>
      </c>
      <c r="K74" s="17">
        <f>K71*2%/2</f>
        <v>7.0967229106666663</v>
      </c>
      <c r="L74" s="17">
        <f t="shared" ref="L74:X74" si="35">L71*2%/2</f>
        <v>6.5898141313333332</v>
      </c>
      <c r="M74" s="17">
        <f t="shared" si="35"/>
        <v>6.0829053519999992</v>
      </c>
      <c r="N74" s="17">
        <f t="shared" si="35"/>
        <v>5.575996572666666</v>
      </c>
      <c r="O74" s="17">
        <f t="shared" si="35"/>
        <v>5.069087793333332</v>
      </c>
      <c r="P74" s="17">
        <f t="shared" si="35"/>
        <v>4.5621790139999989</v>
      </c>
      <c r="Q74" s="17">
        <f t="shared" si="35"/>
        <v>4.0552702346666649</v>
      </c>
      <c r="R74" s="17">
        <f t="shared" si="35"/>
        <v>3.5483614553333314</v>
      </c>
      <c r="S74" s="17">
        <f t="shared" si="35"/>
        <v>3.0414526759999978</v>
      </c>
      <c r="T74" s="17">
        <f t="shared" si="35"/>
        <v>2.5345438966666647</v>
      </c>
      <c r="U74" s="17">
        <f t="shared" si="35"/>
        <v>2.0276351173333316</v>
      </c>
      <c r="V74" s="17">
        <f t="shared" si="35"/>
        <v>1.520726337999998</v>
      </c>
      <c r="W74" s="17">
        <f t="shared" si="35"/>
        <v>1.0138175586666649</v>
      </c>
      <c r="X74" s="36">
        <f t="shared" si="35"/>
        <v>0.50690877933333145</v>
      </c>
      <c r="Y74" s="40">
        <f>SUM(B74:X74)</f>
        <v>94.65532335621603</v>
      </c>
    </row>
    <row r="75" spans="1:25" ht="15.75" thickBot="1" x14ac:dyDescent="0.3">
      <c r="A75" s="7" t="s">
        <v>0</v>
      </c>
      <c r="B75" s="35">
        <f t="shared" ref="B75:X75" si="36">SUM(B69,B72,B73,B74)</f>
        <v>5.0747745368015664</v>
      </c>
      <c r="C75" s="35">
        <f t="shared" si="36"/>
        <v>8.2314629978754645</v>
      </c>
      <c r="D75" s="35">
        <f t="shared" si="36"/>
        <v>11.415854102944426</v>
      </c>
      <c r="E75" s="35">
        <f t="shared" si="36"/>
        <v>14.62297585625544</v>
      </c>
      <c r="F75" s="35">
        <f t="shared" si="36"/>
        <v>17.829338909691884</v>
      </c>
      <c r="G75" s="35">
        <f t="shared" si="36"/>
        <v>21.010666215011309</v>
      </c>
      <c r="H75" s="35">
        <f t="shared" si="36"/>
        <v>24.192829159453463</v>
      </c>
      <c r="I75" s="35">
        <f t="shared" si="36"/>
        <v>28.627280680318609</v>
      </c>
      <c r="J75" s="35">
        <f t="shared" si="36"/>
        <v>79.16647861238333</v>
      </c>
      <c r="K75" s="35">
        <f t="shared" si="36"/>
        <v>77.268105233780005</v>
      </c>
      <c r="L75" s="35">
        <f t="shared" si="36"/>
        <v>75.369731855176667</v>
      </c>
      <c r="M75" s="35">
        <f t="shared" si="36"/>
        <v>73.471358476573329</v>
      </c>
      <c r="N75" s="35">
        <f t="shared" si="36"/>
        <v>71.572985097970005</v>
      </c>
      <c r="O75" s="35">
        <f t="shared" si="36"/>
        <v>69.674611719366666</v>
      </c>
      <c r="P75" s="35">
        <f t="shared" si="36"/>
        <v>67.776238340763328</v>
      </c>
      <c r="Q75" s="35">
        <f t="shared" si="36"/>
        <v>65.87786496215999</v>
      </c>
      <c r="R75" s="35">
        <f t="shared" si="36"/>
        <v>63.979491583556658</v>
      </c>
      <c r="S75" s="35">
        <f t="shared" si="36"/>
        <v>62.081118204953327</v>
      </c>
      <c r="T75" s="35">
        <f t="shared" si="36"/>
        <v>60.182744826349989</v>
      </c>
      <c r="U75" s="35">
        <f t="shared" si="36"/>
        <v>58.284371447746658</v>
      </c>
      <c r="V75" s="35">
        <f t="shared" si="36"/>
        <v>56.385998069143326</v>
      </c>
      <c r="W75" s="35">
        <f t="shared" si="36"/>
        <v>54.487624690539995</v>
      </c>
      <c r="X75" s="35">
        <f t="shared" si="36"/>
        <v>52.589251311936657</v>
      </c>
      <c r="Y75" s="41">
        <f>SUM(Y69,Y72,Y73,Y74)</f>
        <v>1119.1731568907524</v>
      </c>
    </row>
    <row r="77" spans="1:25" ht="15.75" x14ac:dyDescent="0.25">
      <c r="N77" s="118" t="s">
        <v>52</v>
      </c>
      <c r="O77" s="119"/>
      <c r="P77" s="119"/>
      <c r="Q77" s="120"/>
      <c r="R77" s="121">
        <f>Y75</f>
        <v>1119.1731568907524</v>
      </c>
      <c r="S77" s="122"/>
      <c r="T77" s="121" t="s">
        <v>71</v>
      </c>
      <c r="U77" s="122"/>
    </row>
    <row r="78" spans="1:25" ht="15.75" x14ac:dyDescent="0.25">
      <c r="N78" s="118" t="s">
        <v>53</v>
      </c>
      <c r="O78" s="119"/>
      <c r="P78" s="119"/>
      <c r="Q78" s="120"/>
      <c r="R78" s="121">
        <f>R58+R77</f>
        <v>1783.2401208420968</v>
      </c>
      <c r="S78" s="122"/>
      <c r="T78" s="121" t="s">
        <v>71</v>
      </c>
      <c r="U78" s="122"/>
    </row>
    <row r="91" ht="33.75" customHeight="1" x14ac:dyDescent="0.25"/>
  </sheetData>
  <mergeCells count="83">
    <mergeCell ref="N78:Q78"/>
    <mergeCell ref="R78:S78"/>
    <mergeCell ref="T78:U78"/>
    <mergeCell ref="K10:L10"/>
    <mergeCell ref="A63:U63"/>
    <mergeCell ref="A64:U64"/>
    <mergeCell ref="A65:U65"/>
    <mergeCell ref="A67:A68"/>
    <mergeCell ref="C67:D67"/>
    <mergeCell ref="E67:F67"/>
    <mergeCell ref="W67:X67"/>
    <mergeCell ref="Y67:Y68"/>
    <mergeCell ref="N77:Q77"/>
    <mergeCell ref="R77:S77"/>
    <mergeCell ref="T77:U77"/>
    <mergeCell ref="O67:P67"/>
    <mergeCell ref="Q67:R67"/>
    <mergeCell ref="S67:T67"/>
    <mergeCell ref="U67:V67"/>
    <mergeCell ref="N58:Q58"/>
    <mergeCell ref="R58:S58"/>
    <mergeCell ref="T58:U58"/>
    <mergeCell ref="A62:U62"/>
    <mergeCell ref="G67:H67"/>
    <mergeCell ref="I67:J67"/>
    <mergeCell ref="K67:L67"/>
    <mergeCell ref="M67:N67"/>
    <mergeCell ref="X40:Y40"/>
    <mergeCell ref="A50:A51"/>
    <mergeCell ref="B50:C50"/>
    <mergeCell ref="D50:E50"/>
    <mergeCell ref="F50:G50"/>
    <mergeCell ref="H50:I50"/>
    <mergeCell ref="J50:K50"/>
    <mergeCell ref="L50:L51"/>
    <mergeCell ref="P40:Q40"/>
    <mergeCell ref="R40:S40"/>
    <mergeCell ref="T40:U40"/>
    <mergeCell ref="V40:W40"/>
    <mergeCell ref="H40:I40"/>
    <mergeCell ref="J40:K40"/>
    <mergeCell ref="L40:M40"/>
    <mergeCell ref="N40:O40"/>
    <mergeCell ref="B30:C30"/>
    <mergeCell ref="D30:E30"/>
    <mergeCell ref="F30:G30"/>
    <mergeCell ref="H30:I30"/>
    <mergeCell ref="A40:A41"/>
    <mergeCell ref="B40:C40"/>
    <mergeCell ref="D40:E40"/>
    <mergeCell ref="F40:G40"/>
    <mergeCell ref="V30:W30"/>
    <mergeCell ref="X30:Y30"/>
    <mergeCell ref="J30:K30"/>
    <mergeCell ref="L30:M30"/>
    <mergeCell ref="N30:O30"/>
    <mergeCell ref="P30:Q30"/>
    <mergeCell ref="R30:S30"/>
    <mergeCell ref="T30:U30"/>
    <mergeCell ref="W20:X20"/>
    <mergeCell ref="A29:U29"/>
    <mergeCell ref="A18:U18"/>
    <mergeCell ref="A20:A21"/>
    <mergeCell ref="C20:D20"/>
    <mergeCell ref="E20:F20"/>
    <mergeCell ref="G20:H20"/>
    <mergeCell ref="I20:J20"/>
    <mergeCell ref="K20:L20"/>
    <mergeCell ref="M20:N20"/>
    <mergeCell ref="O20:P20"/>
    <mergeCell ref="Q20:R20"/>
    <mergeCell ref="A10:B10"/>
    <mergeCell ref="A15:U15"/>
    <mergeCell ref="A16:U16"/>
    <mergeCell ref="A17:U17"/>
    <mergeCell ref="S20:T20"/>
    <mergeCell ref="U20:V20"/>
    <mergeCell ref="A3:Y3"/>
    <mergeCell ref="A8:B9"/>
    <mergeCell ref="D8:E8"/>
    <mergeCell ref="F8:G8"/>
    <mergeCell ref="H8:I8"/>
    <mergeCell ref="K8:L9"/>
  </mergeCells>
  <phoneticPr fontId="17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opLeftCell="G1" workbookViewId="0">
      <selection activeCell="O13" sqref="O13"/>
    </sheetView>
  </sheetViews>
  <sheetFormatPr defaultRowHeight="15" x14ac:dyDescent="0.25"/>
  <cols>
    <col min="8" max="8" width="21.7109375" bestFit="1" customWidth="1"/>
    <col min="9" max="9" width="22.140625" bestFit="1" customWidth="1"/>
    <col min="10" max="10" width="19.140625" bestFit="1" customWidth="1"/>
    <col min="11" max="16" width="13.140625" bestFit="1" customWidth="1"/>
    <col min="17" max="17" width="22.7109375" bestFit="1" customWidth="1"/>
  </cols>
  <sheetData>
    <row r="1" spans="1:17" x14ac:dyDescent="0.25">
      <c r="A1" t="s">
        <v>63</v>
      </c>
      <c r="F1" s="62">
        <v>11.608598000000001</v>
      </c>
      <c r="I1" s="62">
        <v>11.608598000000001</v>
      </c>
      <c r="J1" s="62">
        <v>11.608598000000001</v>
      </c>
      <c r="K1" s="62">
        <v>11.608598000000001</v>
      </c>
      <c r="L1" s="62">
        <v>11.608598000000001</v>
      </c>
      <c r="M1" s="62">
        <v>11.608598000000001</v>
      </c>
      <c r="N1" s="62">
        <v>11.608598000000001</v>
      </c>
      <c r="O1" s="62">
        <v>11.608598000000001</v>
      </c>
      <c r="P1" s="62">
        <v>11.608598000000001</v>
      </c>
    </row>
    <row r="2" spans="1:17" x14ac:dyDescent="0.25">
      <c r="H2" s="44">
        <v>100000000</v>
      </c>
    </row>
    <row r="3" spans="1:17" x14ac:dyDescent="0.25">
      <c r="H3" s="45">
        <f>F1*H2</f>
        <v>1160859800</v>
      </c>
      <c r="I3">
        <v>1160859800</v>
      </c>
    </row>
    <row r="4" spans="1:17" x14ac:dyDescent="0.25">
      <c r="H4" s="45">
        <f>H2*34.5%*F1</f>
        <v>400496631</v>
      </c>
      <c r="I4">
        <v>400496631</v>
      </c>
    </row>
    <row r="5" spans="1:17" x14ac:dyDescent="0.25">
      <c r="H5" s="45">
        <f>H2*65.5%*F1</f>
        <v>760363169</v>
      </c>
      <c r="I5">
        <v>760363169</v>
      </c>
    </row>
    <row r="6" spans="1:17" x14ac:dyDescent="0.25">
      <c r="H6" s="45">
        <f>SUM(H4:H5)</f>
        <v>1160859800</v>
      </c>
    </row>
    <row r="9" spans="1:17" x14ac:dyDescent="0.25">
      <c r="I9" s="32">
        <v>14.483700000000001</v>
      </c>
      <c r="J9" s="32">
        <v>11.569025</v>
      </c>
      <c r="K9" s="32">
        <v>11.569025</v>
      </c>
      <c r="L9" s="32">
        <v>11.648849999999999</v>
      </c>
      <c r="M9" s="32">
        <v>11.648849999999999</v>
      </c>
      <c r="N9" s="32">
        <v>11.560930000000001</v>
      </c>
      <c r="O9" s="32">
        <v>11.560930000000001</v>
      </c>
      <c r="P9" s="32">
        <v>15.958690000000001</v>
      </c>
      <c r="Q9" s="63">
        <f>SUM(I9:P9)</f>
        <v>100</v>
      </c>
    </row>
    <row r="10" spans="1:17" x14ac:dyDescent="0.25">
      <c r="I10">
        <f>I9/100</f>
        <v>0.14483699999999999</v>
      </c>
      <c r="J10">
        <f t="shared" ref="J10:P10" si="0">J9/100</f>
        <v>0.11569024999999999</v>
      </c>
      <c r="K10">
        <f t="shared" si="0"/>
        <v>0.11569024999999999</v>
      </c>
      <c r="L10">
        <f t="shared" si="0"/>
        <v>0.11648849999999999</v>
      </c>
      <c r="M10">
        <f t="shared" si="0"/>
        <v>0.11648849999999999</v>
      </c>
      <c r="N10">
        <f t="shared" si="0"/>
        <v>0.11560930000000001</v>
      </c>
      <c r="O10">
        <f t="shared" si="0"/>
        <v>0.11560930000000001</v>
      </c>
      <c r="P10">
        <f t="shared" si="0"/>
        <v>0.1595869</v>
      </c>
      <c r="Q10" s="46">
        <f>SUM(I10:P10)</f>
        <v>1</v>
      </c>
    </row>
    <row r="11" spans="1:17" x14ac:dyDescent="0.25">
      <c r="I11" s="47">
        <f>I9*I1</f>
        <v>168.13545085260003</v>
      </c>
      <c r="J11" s="47">
        <f t="shared" ref="J11:P11" si="1">J9*J1</f>
        <v>134.30016047695</v>
      </c>
      <c r="K11" s="47">
        <f t="shared" si="1"/>
        <v>134.30016047695</v>
      </c>
      <c r="L11" s="47">
        <f t="shared" si="1"/>
        <v>135.2268168123</v>
      </c>
      <c r="M11" s="47">
        <f t="shared" si="1"/>
        <v>135.2268168123</v>
      </c>
      <c r="N11" s="47">
        <f t="shared" si="1"/>
        <v>134.20618887614</v>
      </c>
      <c r="O11" s="47">
        <f t="shared" si="1"/>
        <v>134.20618887614</v>
      </c>
      <c r="P11" s="47">
        <f t="shared" si="1"/>
        <v>185.25801681662003</v>
      </c>
      <c r="Q11" s="64">
        <f>SUM(I11:P11)</f>
        <v>1160.8598000000002</v>
      </c>
    </row>
    <row r="12" spans="1:17" x14ac:dyDescent="0.25">
      <c r="I12" s="47">
        <f>I11/1000000</f>
        <v>1.6813545085260002E-4</v>
      </c>
      <c r="J12" s="47">
        <f t="shared" ref="J12:P12" si="2">J11/1000000</f>
        <v>1.3430016047694999E-4</v>
      </c>
      <c r="K12" s="47">
        <f t="shared" si="2"/>
        <v>1.3430016047694999E-4</v>
      </c>
      <c r="L12" s="47">
        <f t="shared" si="2"/>
        <v>1.3522681681229999E-4</v>
      </c>
      <c r="M12" s="47">
        <f t="shared" si="2"/>
        <v>1.3522681681229999E-4</v>
      </c>
      <c r="N12" s="47">
        <f t="shared" si="2"/>
        <v>1.3420618887614001E-4</v>
      </c>
      <c r="O12" s="47">
        <f t="shared" si="2"/>
        <v>1.3420618887614001E-4</v>
      </c>
      <c r="P12" s="47">
        <f t="shared" si="2"/>
        <v>1.8525801681662003E-4</v>
      </c>
    </row>
  </sheetData>
  <phoneticPr fontId="0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86C177A4BE3A249AFFC8713AA44DDAF" ma:contentTypeVersion="4" ma:contentTypeDescription="Створення нового документа." ma:contentTypeScope="" ma:versionID="5a2a8f43e6c35d93aaabc880d8266c91">
  <xsd:schema xmlns:xsd="http://www.w3.org/2001/XMLSchema" xmlns:xs="http://www.w3.org/2001/XMLSchema" xmlns:p="http://schemas.microsoft.com/office/2006/metadata/properties" xmlns:ns2="8a0e219f-5906-4e00-925f-9cae1a3b9095" xmlns:ns3="42e37395-da3d-4dc9-96b4-080421187cbc" targetNamespace="http://schemas.microsoft.com/office/2006/metadata/properties" ma:root="true" ma:fieldsID="81a78298533c4d8446166e0a7480f081" ns2:_="" ns3:_="">
    <xsd:import namespace="8a0e219f-5906-4e00-925f-9cae1a3b9095"/>
    <xsd:import namespace="42e37395-da3d-4dc9-96b4-080421187cb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0e219f-5906-4e00-925f-9cae1a3b909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Відомості про тих, хто має доступ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37395-da3d-4dc9-96b4-080421187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04F875-7AD0-4310-89B5-738E3BBF6D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03F828-556E-4077-A407-A2E2D131CC3F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0574A92-95EB-423A-AD30-4B8F4544A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0e219f-5906-4e00-925f-9cae1a3b9095"/>
    <ds:schemaRef ds:uri="42e37395-da3d-4dc9-96b4-080421187c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36A3ECB-61F5-415E-9023-C91FE08622DD}">
  <ds:schemaRefs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42e37395-da3d-4dc9-96b4-080421187cbc"/>
    <ds:schemaRef ds:uri="8a0e219f-5906-4e00-925f-9cae1a3b909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ЄІБ</vt:lpstr>
      <vt:lpstr>Грн.</vt:lpstr>
      <vt:lpstr>Курс</vt:lpstr>
      <vt:lpstr>ЄІБ!Область_друку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Администратор</dc:creator>
  <cp:lastPrinted>2017-06-26T05:28:56Z</cp:lastPrinted>
  <dcterms:created xsi:type="dcterms:W3CDTF">2009-07-21T12:02:45Z</dcterms:created>
  <dcterms:modified xsi:type="dcterms:W3CDTF">2020-07-07T07:02:59Z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Калініченко Євген Євгенович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Администратор</vt:lpwstr>
  </property>
</Properties>
</file>